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uliah S2 STP\Tesis Gw\Neliti Bagan\"/>
    </mc:Choice>
  </mc:AlternateContent>
  <xr:revisionPtr revIDLastSave="0" documentId="13_ncr:1_{629FD53B-901B-48C9-B036-C575B2A921E0}" xr6:coauthVersionLast="47" xr6:coauthVersionMax="47" xr10:uidLastSave="{00000000-0000-0000-0000-000000000000}"/>
  <bookViews>
    <workbookView xWindow="-120" yWindow="-120" windowWidth="20730" windowHeight="11160" xr2:uid="{7670FC01-0B12-49C1-AE33-E81DD4BF828F}"/>
  </bookViews>
  <sheets>
    <sheet name="Hasil Kombinasi" sheetId="1" r:id="rId1"/>
    <sheet name="Hasil Bambu 2" sheetId="2" r:id="rId2"/>
    <sheet name="Hasil PVC" sheetId="3" r:id="rId3"/>
    <sheet name="Hasil Bambu 1" sheetId="4" r:id="rId4"/>
    <sheet name="Data Tangkapan Bagan 2020 DKP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1" i="1" l="1"/>
  <c r="F20" i="1"/>
  <c r="F21" i="2"/>
  <c r="F20" i="2"/>
  <c r="F21" i="4"/>
  <c r="F20" i="4"/>
  <c r="F21" i="3"/>
  <c r="F20" i="3"/>
  <c r="E15" i="5"/>
  <c r="E14" i="5"/>
  <c r="E13" i="5"/>
  <c r="E12" i="5"/>
  <c r="E11" i="5"/>
  <c r="E10" i="5"/>
  <c r="E9" i="5"/>
  <c r="E8" i="5"/>
  <c r="E7" i="5"/>
  <c r="E6" i="5"/>
  <c r="E21" i="1"/>
  <c r="E20" i="1"/>
  <c r="E21" i="3"/>
  <c r="E20" i="3"/>
  <c r="E21" i="4"/>
  <c r="E20" i="4"/>
  <c r="T21" i="4"/>
  <c r="T20" i="4"/>
  <c r="T21" i="3"/>
  <c r="T20" i="3"/>
  <c r="T21" i="1"/>
  <c r="T20" i="1"/>
  <c r="U21" i="1"/>
  <c r="U20" i="1"/>
  <c r="P21" i="2"/>
  <c r="P20" i="2"/>
  <c r="U21" i="4"/>
  <c r="U20" i="4"/>
  <c r="U21" i="3"/>
  <c r="U20" i="3"/>
  <c r="S21" i="1"/>
  <c r="R21" i="1"/>
  <c r="Q21" i="1"/>
  <c r="P21" i="1"/>
  <c r="O21" i="1"/>
  <c r="N21" i="1"/>
  <c r="M21" i="1"/>
  <c r="L21" i="1"/>
  <c r="K21" i="1"/>
  <c r="J21" i="1"/>
  <c r="I21" i="1"/>
  <c r="H21" i="1"/>
  <c r="S20" i="1"/>
  <c r="R20" i="1"/>
  <c r="Q20" i="1"/>
  <c r="P20" i="1"/>
  <c r="O20" i="1"/>
  <c r="N20" i="1"/>
  <c r="M20" i="1"/>
  <c r="L20" i="1"/>
  <c r="K20" i="1"/>
  <c r="J20" i="1"/>
  <c r="I20" i="1"/>
  <c r="H20" i="1"/>
  <c r="G21" i="1"/>
  <c r="G20" i="1"/>
  <c r="M21" i="2"/>
  <c r="I21" i="2"/>
  <c r="M20" i="2"/>
  <c r="J20" i="2"/>
  <c r="I20" i="2"/>
  <c r="G21" i="2"/>
  <c r="G20" i="2"/>
  <c r="O21" i="3"/>
  <c r="N21" i="3"/>
  <c r="M21" i="3"/>
  <c r="L21" i="3"/>
  <c r="K21" i="3"/>
  <c r="J21" i="3"/>
  <c r="I21" i="3"/>
  <c r="H21" i="3"/>
  <c r="O20" i="3"/>
  <c r="N20" i="3"/>
  <c r="M20" i="3"/>
  <c r="L20" i="3"/>
  <c r="K20" i="3"/>
  <c r="J20" i="3"/>
  <c r="I20" i="3"/>
  <c r="H20" i="3"/>
  <c r="G21" i="3"/>
  <c r="G20" i="3"/>
  <c r="M21" i="4"/>
  <c r="L21" i="4"/>
  <c r="K21" i="4"/>
  <c r="J21" i="4"/>
  <c r="H21" i="4"/>
  <c r="M20" i="4"/>
  <c r="L20" i="4"/>
  <c r="K20" i="4"/>
  <c r="J20" i="4"/>
  <c r="I20" i="4"/>
  <c r="H20" i="4"/>
  <c r="G21" i="4"/>
  <c r="G20" i="4"/>
  <c r="N19" i="3"/>
  <c r="O19" i="3"/>
  <c r="N19" i="1"/>
  <c r="O19" i="1"/>
  <c r="P19" i="1"/>
  <c r="Q19" i="1"/>
  <c r="R19" i="1"/>
  <c r="S19" i="1"/>
  <c r="M19" i="4"/>
  <c r="L19" i="4"/>
  <c r="K19" i="4"/>
  <c r="J19" i="4"/>
  <c r="I19" i="4"/>
  <c r="H19" i="4"/>
  <c r="G19" i="4"/>
  <c r="T18" i="4"/>
  <c r="E18" i="4"/>
  <c r="T17" i="4"/>
  <c r="E17" i="4"/>
  <c r="T16" i="4"/>
  <c r="E16" i="4"/>
  <c r="T15" i="4"/>
  <c r="E15" i="4"/>
  <c r="T14" i="4"/>
  <c r="E14" i="4"/>
  <c r="T13" i="4"/>
  <c r="E13" i="4"/>
  <c r="T12" i="4"/>
  <c r="E12" i="4"/>
  <c r="T11" i="4"/>
  <c r="E11" i="4"/>
  <c r="T10" i="4"/>
  <c r="E10" i="4"/>
  <c r="T9" i="4"/>
  <c r="E9" i="4"/>
  <c r="T8" i="4"/>
  <c r="E8" i="4"/>
  <c r="T7" i="4"/>
  <c r="E7" i="4"/>
  <c r="T6" i="4"/>
  <c r="E6" i="4"/>
  <c r="T5" i="4"/>
  <c r="E5" i="4"/>
  <c r="T4" i="4"/>
  <c r="E4" i="4"/>
  <c r="M19" i="3"/>
  <c r="L19" i="3"/>
  <c r="K19" i="3"/>
  <c r="J19" i="3"/>
  <c r="I19" i="3"/>
  <c r="H19" i="3"/>
  <c r="G19" i="3"/>
  <c r="G18" i="3"/>
  <c r="T18" i="3" s="1"/>
  <c r="E18" i="3"/>
  <c r="T17" i="3"/>
  <c r="E17" i="3"/>
  <c r="T16" i="3"/>
  <c r="E16" i="3"/>
  <c r="T15" i="3"/>
  <c r="E15" i="3"/>
  <c r="T14" i="3"/>
  <c r="E14" i="3"/>
  <c r="T13" i="3"/>
  <c r="E13" i="3"/>
  <c r="T12" i="3"/>
  <c r="G12" i="3"/>
  <c r="E12" i="3"/>
  <c r="T11" i="3"/>
  <c r="E11" i="3"/>
  <c r="T10" i="3"/>
  <c r="E10" i="3"/>
  <c r="T9" i="3"/>
  <c r="E9" i="3"/>
  <c r="T8" i="3"/>
  <c r="E8" i="3"/>
  <c r="T7" i="3"/>
  <c r="E7" i="3"/>
  <c r="T6" i="3"/>
  <c r="E6" i="3"/>
  <c r="T5" i="3"/>
  <c r="E5" i="3"/>
  <c r="T4" i="3"/>
  <c r="E4" i="3"/>
  <c r="M19" i="2"/>
  <c r="J19" i="2"/>
  <c r="I19" i="2"/>
  <c r="G19" i="2"/>
  <c r="O18" i="2"/>
  <c r="E18" i="2"/>
  <c r="K17" i="2"/>
  <c r="O17" i="2" s="1"/>
  <c r="E17" i="2"/>
  <c r="O16" i="2"/>
  <c r="E16" i="2"/>
  <c r="L15" i="2"/>
  <c r="O15" i="2" s="1"/>
  <c r="E15" i="2"/>
  <c r="N14" i="2"/>
  <c r="O14" i="2" s="1"/>
  <c r="E14" i="2"/>
  <c r="L13" i="2"/>
  <c r="L19" i="2" s="1"/>
  <c r="E13" i="2"/>
  <c r="K12" i="2"/>
  <c r="O12" i="2" s="1"/>
  <c r="E12" i="2"/>
  <c r="K11" i="2"/>
  <c r="O11" i="2" s="1"/>
  <c r="E11" i="2"/>
  <c r="K10" i="2"/>
  <c r="O10" i="2" s="1"/>
  <c r="E10" i="2"/>
  <c r="O9" i="2"/>
  <c r="E9" i="2"/>
  <c r="O8" i="2"/>
  <c r="E8" i="2"/>
  <c r="O7" i="2"/>
  <c r="E7" i="2"/>
  <c r="H6" i="2"/>
  <c r="H19" i="2" s="1"/>
  <c r="E6" i="2"/>
  <c r="O5" i="2"/>
  <c r="E5" i="2"/>
  <c r="E21" i="2" s="1"/>
  <c r="O4" i="2"/>
  <c r="E4" i="2"/>
  <c r="M19" i="1"/>
  <c r="K19" i="1"/>
  <c r="J19" i="1"/>
  <c r="I19" i="1"/>
  <c r="G19" i="1"/>
  <c r="H18" i="1"/>
  <c r="T18" i="1" s="1"/>
  <c r="E18" i="1"/>
  <c r="H17" i="1"/>
  <c r="T17" i="1" s="1"/>
  <c r="E17" i="1"/>
  <c r="T16" i="1"/>
  <c r="E16" i="1"/>
  <c r="T15" i="1"/>
  <c r="E15" i="1"/>
  <c r="T14" i="1"/>
  <c r="E14" i="1"/>
  <c r="T13" i="1"/>
  <c r="H13" i="1"/>
  <c r="E13" i="1"/>
  <c r="L12" i="1"/>
  <c r="L19" i="1" s="1"/>
  <c r="E12" i="1"/>
  <c r="T11" i="1"/>
  <c r="E11" i="1"/>
  <c r="T10" i="1"/>
  <c r="E10" i="1"/>
  <c r="T9" i="1"/>
  <c r="E9" i="1"/>
  <c r="T8" i="1"/>
  <c r="E8" i="1"/>
  <c r="T7" i="1"/>
  <c r="E7" i="1"/>
  <c r="T6" i="1"/>
  <c r="E6" i="1"/>
  <c r="T5" i="1"/>
  <c r="E5" i="1"/>
  <c r="T4" i="1"/>
  <c r="E4" i="1"/>
  <c r="E20" i="2" l="1"/>
  <c r="L21" i="2"/>
  <c r="N20" i="2"/>
  <c r="N19" i="2"/>
  <c r="H20" i="2"/>
  <c r="L20" i="2"/>
  <c r="K21" i="2"/>
  <c r="K20" i="2"/>
  <c r="H21" i="2"/>
  <c r="T19" i="4"/>
  <c r="H19" i="1"/>
  <c r="O6" i="2"/>
  <c r="O20" i="2" s="1"/>
  <c r="O13" i="2"/>
  <c r="T19" i="3"/>
  <c r="K19" i="2"/>
  <c r="T12" i="1"/>
  <c r="T19" i="1" s="1"/>
  <c r="O19" i="2" l="1"/>
  <c r="O21" i="2"/>
</calcChain>
</file>

<file path=xl/sharedStrings.xml><?xml version="1.0" encoding="utf-8"?>
<sst xmlns="http://schemas.openxmlformats.org/spreadsheetml/2006/main" count="319" uniqueCount="162">
  <si>
    <t xml:space="preserve">Tanggal penangkapan </t>
  </si>
  <si>
    <t>No. Hauling</t>
  </si>
  <si>
    <t>Jam Hauling</t>
  </si>
  <si>
    <t>Durasi waktu</t>
  </si>
  <si>
    <t>Detik</t>
  </si>
  <si>
    <t>Jumlah Hasil Tangkapan (kg)</t>
  </si>
  <si>
    <t>Berat Total Tangkapan (kg)</t>
  </si>
  <si>
    <t xml:space="preserve">Cuaca </t>
  </si>
  <si>
    <t>Cumi (loligo sp.)</t>
  </si>
  <si>
    <t>Selar (Alepes djedaba)</t>
  </si>
  <si>
    <t>Golok (Chirocentrus dorab)</t>
  </si>
  <si>
    <t>Talang (Scomberoides tala)</t>
  </si>
  <si>
    <t>Barakuda (Sphyraena barracuda)</t>
  </si>
  <si>
    <t>Kunyit (Selaroides leptolepis)</t>
  </si>
  <si>
    <t>Teri (Stolephorus sp.)</t>
  </si>
  <si>
    <t>Kuniran (Upeneus vittatus)</t>
  </si>
  <si>
    <t>Rajungan (Portunus Sp.)</t>
  </si>
  <si>
    <t>Lemuru (sardinella lemuru)</t>
  </si>
  <si>
    <t>Dorang (Pampus argenteus)</t>
  </si>
  <si>
    <t>Kiper (Scatophagus argus)</t>
  </si>
  <si>
    <t>Baronang (Siganus sp.</t>
  </si>
  <si>
    <t>30 Maret 2022</t>
  </si>
  <si>
    <t>20.50</t>
  </si>
  <si>
    <t>2 menit, 20 detik</t>
  </si>
  <si>
    <t>Cerah</t>
  </si>
  <si>
    <t>00.41</t>
  </si>
  <si>
    <t>2 menit, 09 detik</t>
  </si>
  <si>
    <t>03.49</t>
  </si>
  <si>
    <t>1 menit, 50 detik</t>
  </si>
  <si>
    <t>31 Maret 2022</t>
  </si>
  <si>
    <t>22.36</t>
  </si>
  <si>
    <t>2 menit, 15 detik</t>
  </si>
  <si>
    <t>03.26</t>
  </si>
  <si>
    <t>1 menit, 43 detik</t>
  </si>
  <si>
    <t>19.36</t>
  </si>
  <si>
    <t>1 menit, 54 detik</t>
  </si>
  <si>
    <t>00.21</t>
  </si>
  <si>
    <t>2 menit, 22 detik</t>
  </si>
  <si>
    <t>02.03</t>
  </si>
  <si>
    <t>2 menit, 18 detik</t>
  </si>
  <si>
    <t>03.45</t>
  </si>
  <si>
    <t>1 menit, 29 detik</t>
  </si>
  <si>
    <t>19.07</t>
  </si>
  <si>
    <t>1 menit, 56 detik</t>
  </si>
  <si>
    <t>00.30</t>
  </si>
  <si>
    <t>1 menit, 48 detik</t>
  </si>
  <si>
    <t>03.39</t>
  </si>
  <si>
    <t>1 menit, 45 detik</t>
  </si>
  <si>
    <t>21.15</t>
  </si>
  <si>
    <t>2 menit, 14 detik</t>
  </si>
  <si>
    <t>01.16</t>
  </si>
  <si>
    <t>1 menit, 35 detik</t>
  </si>
  <si>
    <t>0.2</t>
  </si>
  <si>
    <t>03.50</t>
  </si>
  <si>
    <t>1 menit, 59 detik</t>
  </si>
  <si>
    <t>TOTAL</t>
  </si>
  <si>
    <t>22.01</t>
  </si>
  <si>
    <t>4 menit, 47 detik</t>
  </si>
  <si>
    <t>02.15</t>
  </si>
  <si>
    <t>4 menit, 15 detik</t>
  </si>
  <si>
    <t>05.02</t>
  </si>
  <si>
    <t>4 menit, 01 detik</t>
  </si>
  <si>
    <t>20.25</t>
  </si>
  <si>
    <t>5 menit, 28 detik</t>
  </si>
  <si>
    <t>23.24</t>
  </si>
  <si>
    <t>5 menit, 10 detik</t>
  </si>
  <si>
    <t>03.43</t>
  </si>
  <si>
    <t>4 menit, 51 detik</t>
  </si>
  <si>
    <t>20.56</t>
  </si>
  <si>
    <t>4 menit, 02 detik</t>
  </si>
  <si>
    <t>00.46</t>
  </si>
  <si>
    <t>4 menit, 58 detik</t>
  </si>
  <si>
    <t>03.55</t>
  </si>
  <si>
    <t>5 menit, 02 detik</t>
  </si>
  <si>
    <t>19.15</t>
  </si>
  <si>
    <t>4 menit, 35 detik</t>
  </si>
  <si>
    <t>23.35</t>
  </si>
  <si>
    <t>4 menit, 57 detik</t>
  </si>
  <si>
    <t>04.10</t>
  </si>
  <si>
    <t>4 menit, 08 detik</t>
  </si>
  <si>
    <t>21.35</t>
  </si>
  <si>
    <t>5 menit, 01 detik</t>
  </si>
  <si>
    <t>01.28</t>
  </si>
  <si>
    <t>4 menit, 22 detik</t>
  </si>
  <si>
    <t>04.30</t>
  </si>
  <si>
    <t>14 Maret 2022</t>
  </si>
  <si>
    <t>20.51</t>
  </si>
  <si>
    <t>3 menit, 12 detik</t>
  </si>
  <si>
    <t>02.14</t>
  </si>
  <si>
    <t>2 menit, 56 detik</t>
  </si>
  <si>
    <t>04.01</t>
  </si>
  <si>
    <t>2 menit, 52 detik</t>
  </si>
  <si>
    <t>15 Maret 2022</t>
  </si>
  <si>
    <t>20.47</t>
  </si>
  <si>
    <t>3 menit, 15 detik</t>
  </si>
  <si>
    <t>01.10</t>
  </si>
  <si>
    <t>04.14</t>
  </si>
  <si>
    <t>2 menit, 53 detik</t>
  </si>
  <si>
    <t>27 Maret 2022</t>
  </si>
  <si>
    <t>20.12</t>
  </si>
  <si>
    <t>2 menit, 36 detik</t>
  </si>
  <si>
    <t>00.25</t>
  </si>
  <si>
    <t>2 menit, 30 detik</t>
  </si>
  <si>
    <t>03.38</t>
  </si>
  <si>
    <t>2 menit, 40 detik</t>
  </si>
  <si>
    <t>28 Maret 2022</t>
  </si>
  <si>
    <t>21.03</t>
  </si>
  <si>
    <t>2 menit, 41 detik</t>
  </si>
  <si>
    <t>00.15</t>
  </si>
  <si>
    <t>2 menit, 37 detik</t>
  </si>
  <si>
    <t>03.40</t>
  </si>
  <si>
    <t>29 Maret 2022</t>
  </si>
  <si>
    <t>19.51</t>
  </si>
  <si>
    <t>23.40</t>
  </si>
  <si>
    <t>2 menit, 16 detik</t>
  </si>
  <si>
    <t>03.31</t>
  </si>
  <si>
    <t>1 menit, 57 detik</t>
  </si>
  <si>
    <t>21.49</t>
  </si>
  <si>
    <t>4 menit, 50 detik</t>
  </si>
  <si>
    <t>4 menit, 29 detik</t>
  </si>
  <si>
    <t>03.30</t>
  </si>
  <si>
    <t>21.55</t>
  </si>
  <si>
    <t>4 menit, 36 detik</t>
  </si>
  <si>
    <t>01.55</t>
  </si>
  <si>
    <t>4 menit, 12 detik</t>
  </si>
  <si>
    <t>4 menit, 09 detik</t>
  </si>
  <si>
    <t>20.07</t>
  </si>
  <si>
    <t>4 menit, 45 detik</t>
  </si>
  <si>
    <t>00.50</t>
  </si>
  <si>
    <t>4 menit, 03 detik</t>
  </si>
  <si>
    <t>4 menit, 40 detik</t>
  </si>
  <si>
    <t>23.50</t>
  </si>
  <si>
    <t>03.54</t>
  </si>
  <si>
    <t>4 menit, 11 detik</t>
  </si>
  <si>
    <t>20.27</t>
  </si>
  <si>
    <t>00.43</t>
  </si>
  <si>
    <t>4 menit, 27 detik</t>
  </si>
  <si>
    <t>03.56</t>
  </si>
  <si>
    <t>Durasi waktu hauling</t>
  </si>
  <si>
    <t>Kedalaman perairan (m)</t>
  </si>
  <si>
    <t>Jumlah spesies tertangkap</t>
  </si>
  <si>
    <t>Suhu</t>
  </si>
  <si>
    <t>Gelombang (m)</t>
  </si>
  <si>
    <t>Teri</t>
  </si>
  <si>
    <t>Bulan</t>
  </si>
  <si>
    <t>Januari</t>
  </si>
  <si>
    <t>Februari</t>
  </si>
  <si>
    <t>Maret</t>
  </si>
  <si>
    <t>April</t>
  </si>
  <si>
    <t>September</t>
  </si>
  <si>
    <t>November</t>
  </si>
  <si>
    <t>Desember</t>
  </si>
  <si>
    <t>Oktober</t>
  </si>
  <si>
    <t>Agustus</t>
  </si>
  <si>
    <t>Juli</t>
  </si>
  <si>
    <t>Juni</t>
  </si>
  <si>
    <t>Mei</t>
  </si>
  <si>
    <t>Ikan Campur</t>
  </si>
  <si>
    <t>Cumi-cumi</t>
  </si>
  <si>
    <t>Rata - rata</t>
  </si>
  <si>
    <t>Standart Deviasi</t>
  </si>
  <si>
    <t>Data Tangkapan Bagan Tancap Kota Problinggo Tahun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</si>
</sst>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3809]dd\ mmmm\ yyyy;@"/>
    <numFmt numFmtId="165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2" fontId="0" fillId="0" borderId="1" xfId="0" applyNumberFormat="1" applyBorder="1"/>
    <xf numFmtId="0" fontId="0" fillId="0" borderId="4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Border="1"/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center"/>
    </xf>
    <xf numFmtId="2" fontId="0" fillId="0" borderId="5" xfId="0" applyNumberFormat="1" applyBorder="1"/>
    <xf numFmtId="0" fontId="0" fillId="0" borderId="6" xfId="0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0" fillId="0" borderId="5" xfId="0" applyBorder="1"/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3" xfId="0" applyBorder="1"/>
    <xf numFmtId="164" fontId="0" fillId="0" borderId="1" xfId="0" applyNumberFormat="1" applyBorder="1" applyAlignment="1">
      <alignment horizontal="left"/>
    </xf>
    <xf numFmtId="2" fontId="0" fillId="0" borderId="3" xfId="0" applyNumberFormat="1" applyBorder="1"/>
    <xf numFmtId="2" fontId="1" fillId="0" borderId="2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/>
    </xf>
    <xf numFmtId="165" fontId="0" fillId="0" borderId="1" xfId="0" applyNumberFormat="1" applyBorder="1" applyAlignment="1">
      <alignment horizontal="center" vertical="center"/>
    </xf>
    <xf numFmtId="0" fontId="0" fillId="0" borderId="12" xfId="0" applyBorder="1" applyAlignment="1">
      <alignment horizontal="center"/>
    </xf>
    <xf numFmtId="2" fontId="0" fillId="0" borderId="5" xfId="0" applyNumberFormat="1" applyBorder="1" applyAlignment="1">
      <alignment horizontal="center" vertical="center"/>
    </xf>
    <xf numFmtId="165" fontId="0" fillId="0" borderId="5" xfId="0" applyNumberFormat="1" applyBorder="1" applyAlignment="1">
      <alignment horizontal="center" vertical="center"/>
    </xf>
    <xf numFmtId="0" fontId="0" fillId="0" borderId="13" xfId="0" applyBorder="1" applyAlignment="1">
      <alignment horizontal="center"/>
    </xf>
    <xf numFmtId="165" fontId="0" fillId="0" borderId="3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left"/>
    </xf>
    <xf numFmtId="2" fontId="0" fillId="0" borderId="0" xfId="0" applyNumberFormat="1" applyAlignment="1">
      <alignment horizontal="center"/>
    </xf>
    <xf numFmtId="165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0" fillId="0" borderId="0" xfId="0" applyFont="1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2" fontId="0" fillId="0" borderId="1" xfId="0" applyNumberFormat="1" applyFont="1" applyBorder="1"/>
    <xf numFmtId="2" fontId="0" fillId="0" borderId="0" xfId="0" applyNumberFormat="1" applyFont="1" applyAlignment="1">
      <alignment horizontal="center"/>
    </xf>
    <xf numFmtId="2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1" fontId="0" fillId="0" borderId="1" xfId="0" applyNumberFormat="1" applyFont="1" applyBorder="1" applyAlignment="1">
      <alignment horizontal="center"/>
    </xf>
    <xf numFmtId="0" fontId="0" fillId="0" borderId="5" xfId="0" applyFont="1" applyBorder="1"/>
    <xf numFmtId="0" fontId="0" fillId="0" borderId="5" xfId="0" applyFont="1" applyBorder="1" applyAlignment="1">
      <alignment horizontal="center"/>
    </xf>
    <xf numFmtId="2" fontId="0" fillId="0" borderId="5" xfId="0" applyNumberFormat="1" applyFont="1" applyBorder="1"/>
    <xf numFmtId="2" fontId="0" fillId="0" borderId="5" xfId="0" applyNumberFormat="1" applyFont="1" applyBorder="1" applyAlignment="1">
      <alignment horizontal="center"/>
    </xf>
    <xf numFmtId="0" fontId="0" fillId="0" borderId="5" xfId="0" applyFont="1" applyBorder="1" applyAlignment="1">
      <alignment horizontal="center" vertical="center"/>
    </xf>
    <xf numFmtId="1" fontId="0" fillId="0" borderId="5" xfId="0" applyNumberFormat="1" applyFont="1" applyBorder="1" applyAlignment="1">
      <alignment horizontal="center"/>
    </xf>
    <xf numFmtId="0" fontId="0" fillId="0" borderId="3" xfId="0" applyFont="1" applyBorder="1"/>
    <xf numFmtId="0" fontId="0" fillId="0" borderId="3" xfId="0" applyFont="1" applyBorder="1" applyAlignment="1">
      <alignment horizontal="center"/>
    </xf>
    <xf numFmtId="2" fontId="0" fillId="0" borderId="3" xfId="0" applyNumberFormat="1" applyFont="1" applyBorder="1" applyAlignment="1">
      <alignment horizontal="center"/>
    </xf>
    <xf numFmtId="0" fontId="0" fillId="0" borderId="3" xfId="0" applyFont="1" applyBorder="1" applyAlignment="1">
      <alignment horizontal="center" vertical="center"/>
    </xf>
    <xf numFmtId="1" fontId="0" fillId="0" borderId="3" xfId="0" applyNumberFormat="1" applyFont="1" applyBorder="1" applyAlignment="1">
      <alignment horizontal="center"/>
    </xf>
    <xf numFmtId="2" fontId="0" fillId="0" borderId="3" xfId="0" applyNumberFormat="1" applyFont="1" applyBorder="1"/>
    <xf numFmtId="2" fontId="0" fillId="0" borderId="0" xfId="0" applyNumberFormat="1"/>
    <xf numFmtId="0" fontId="0" fillId="0" borderId="2" xfId="0" applyBorder="1"/>
    <xf numFmtId="0" fontId="1" fillId="0" borderId="1" xfId="0" quotePrefix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0" fillId="0" borderId="2" xfId="0" applyFont="1" applyBorder="1"/>
    <xf numFmtId="2" fontId="0" fillId="0" borderId="2" xfId="0" applyNumberFormat="1" applyFont="1" applyBorder="1"/>
    <xf numFmtId="2" fontId="0" fillId="0" borderId="2" xfId="0" applyNumberFormat="1" applyBorder="1"/>
    <xf numFmtId="2" fontId="3" fillId="0" borderId="2" xfId="0" applyNumberFormat="1" applyFont="1" applyBorder="1"/>
    <xf numFmtId="165" fontId="0" fillId="0" borderId="2" xfId="0" applyNumberFormat="1" applyBorder="1"/>
    <xf numFmtId="2" fontId="1" fillId="0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/>
              <a:t>Data Tangkapan Bagan Tancap Kota Problinggo Tahun 2020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'Data Tangkapan Bagan 2020 DKP'!$C$3</c:f>
              <c:strCache>
                <c:ptCount val="1"/>
                <c:pt idx="0">
                  <c:v>Cumi-cumi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'Data Tangkapan Bagan 2020 DKP'!$A$4:$B$15</c:f>
              <c:strCache>
                <c:ptCount val="12"/>
                <c:pt idx="0">
                  <c:v>Januari</c:v>
                </c:pt>
                <c:pt idx="1">
                  <c:v>Februari</c:v>
                </c:pt>
                <c:pt idx="2">
                  <c:v>Maret</c:v>
                </c:pt>
                <c:pt idx="3">
                  <c:v>April</c:v>
                </c:pt>
                <c:pt idx="4">
                  <c:v>Mei</c:v>
                </c:pt>
                <c:pt idx="5">
                  <c:v>Juni</c:v>
                </c:pt>
                <c:pt idx="6">
                  <c:v>Juli</c:v>
                </c:pt>
                <c:pt idx="7">
                  <c:v>Agustus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Desember</c:v>
                </c:pt>
              </c:strCache>
            </c:strRef>
          </c:cat>
          <c:val>
            <c:numRef>
              <c:f>'Data Tangkapan Bagan 2020 DKP'!$C$4:$C$15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1300</c:v>
                </c:pt>
                <c:pt idx="3">
                  <c:v>1900</c:v>
                </c:pt>
                <c:pt idx="4">
                  <c:v>1400</c:v>
                </c:pt>
                <c:pt idx="5">
                  <c:v>0</c:v>
                </c:pt>
                <c:pt idx="6">
                  <c:v>900</c:v>
                </c:pt>
                <c:pt idx="7">
                  <c:v>900</c:v>
                </c:pt>
                <c:pt idx="8">
                  <c:v>200</c:v>
                </c:pt>
                <c:pt idx="9">
                  <c:v>800</c:v>
                </c:pt>
                <c:pt idx="10">
                  <c:v>600</c:v>
                </c:pt>
                <c:pt idx="11">
                  <c:v>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BE-4ABC-A010-1765DDDB8EFD}"/>
            </c:ext>
          </c:extLst>
        </c:ser>
        <c:ser>
          <c:idx val="1"/>
          <c:order val="1"/>
          <c:tx>
            <c:strRef>
              <c:f>'Data Tangkapan Bagan 2020 DKP'!$D$3</c:f>
              <c:strCache>
                <c:ptCount val="1"/>
                <c:pt idx="0">
                  <c:v>Teri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'Data Tangkapan Bagan 2020 DKP'!$A$4:$B$15</c:f>
              <c:strCache>
                <c:ptCount val="12"/>
                <c:pt idx="0">
                  <c:v>Januari</c:v>
                </c:pt>
                <c:pt idx="1">
                  <c:v>Februari</c:v>
                </c:pt>
                <c:pt idx="2">
                  <c:v>Maret</c:v>
                </c:pt>
                <c:pt idx="3">
                  <c:v>April</c:v>
                </c:pt>
                <c:pt idx="4">
                  <c:v>Mei</c:v>
                </c:pt>
                <c:pt idx="5">
                  <c:v>Juni</c:v>
                </c:pt>
                <c:pt idx="6">
                  <c:v>Juli</c:v>
                </c:pt>
                <c:pt idx="7">
                  <c:v>Agustus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Desember</c:v>
                </c:pt>
              </c:strCache>
            </c:strRef>
          </c:cat>
          <c:val>
            <c:numRef>
              <c:f>'Data Tangkapan Bagan 2020 DKP'!$D$4:$D$15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1300</c:v>
                </c:pt>
                <c:pt idx="3">
                  <c:v>1700</c:v>
                </c:pt>
                <c:pt idx="4">
                  <c:v>1300</c:v>
                </c:pt>
                <c:pt idx="5">
                  <c:v>1000</c:v>
                </c:pt>
                <c:pt idx="6">
                  <c:v>900</c:v>
                </c:pt>
                <c:pt idx="7">
                  <c:v>900</c:v>
                </c:pt>
                <c:pt idx="8">
                  <c:v>900</c:v>
                </c:pt>
                <c:pt idx="9">
                  <c:v>900</c:v>
                </c:pt>
                <c:pt idx="10">
                  <c:v>400</c:v>
                </c:pt>
                <c:pt idx="11">
                  <c:v>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BE-4ABC-A010-1765DDDB8EFD}"/>
            </c:ext>
          </c:extLst>
        </c:ser>
        <c:ser>
          <c:idx val="2"/>
          <c:order val="2"/>
          <c:tx>
            <c:strRef>
              <c:f>'Data Tangkapan Bagan 2020 DKP'!$E$3</c:f>
              <c:strCache>
                <c:ptCount val="1"/>
                <c:pt idx="0">
                  <c:v>Ikan Campur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strRef>
              <c:f>'Data Tangkapan Bagan 2020 DKP'!$A$4:$B$15</c:f>
              <c:strCache>
                <c:ptCount val="12"/>
                <c:pt idx="0">
                  <c:v>Januari</c:v>
                </c:pt>
                <c:pt idx="1">
                  <c:v>Februari</c:v>
                </c:pt>
                <c:pt idx="2">
                  <c:v>Maret</c:v>
                </c:pt>
                <c:pt idx="3">
                  <c:v>April</c:v>
                </c:pt>
                <c:pt idx="4">
                  <c:v>Mei</c:v>
                </c:pt>
                <c:pt idx="5">
                  <c:v>Juni</c:v>
                </c:pt>
                <c:pt idx="6">
                  <c:v>Juli</c:v>
                </c:pt>
                <c:pt idx="7">
                  <c:v>Agustus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Desember</c:v>
                </c:pt>
              </c:strCache>
            </c:strRef>
          </c:cat>
          <c:val>
            <c:numRef>
              <c:f>'Data Tangkapan Bagan 2020 DKP'!$E$4:$E$15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1400</c:v>
                </c:pt>
                <c:pt idx="3">
                  <c:v>2500</c:v>
                </c:pt>
                <c:pt idx="4">
                  <c:v>2200</c:v>
                </c:pt>
                <c:pt idx="5">
                  <c:v>2800</c:v>
                </c:pt>
                <c:pt idx="6">
                  <c:v>1200</c:v>
                </c:pt>
                <c:pt idx="7">
                  <c:v>1100</c:v>
                </c:pt>
                <c:pt idx="8">
                  <c:v>1100</c:v>
                </c:pt>
                <c:pt idx="9">
                  <c:v>400</c:v>
                </c:pt>
                <c:pt idx="10">
                  <c:v>300</c:v>
                </c:pt>
                <c:pt idx="11">
                  <c:v>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4BE-4ABC-A010-1765DDDB8E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56521136"/>
        <c:axId val="556520808"/>
      </c:barChart>
      <c:catAx>
        <c:axId val="55652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6520808"/>
        <c:crosses val="autoZero"/>
        <c:auto val="1"/>
        <c:lblAlgn val="ctr"/>
        <c:lblOffset val="100"/>
        <c:noMultiLvlLbl val="0"/>
      </c:catAx>
      <c:valAx>
        <c:axId val="556520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6521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2704942785479868"/>
          <c:y val="0.89003977533175127"/>
          <c:w val="0.41059896045377403"/>
          <c:h val="9.15376603633451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95249</xdr:colOff>
      <xdr:row>4</xdr:row>
      <xdr:rowOff>14287</xdr:rowOff>
    </xdr:from>
    <xdr:to>
      <xdr:col>17</xdr:col>
      <xdr:colOff>238125</xdr:colOff>
      <xdr:row>19</xdr:row>
      <xdr:rowOff>47625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4F1EB7F-EF81-378C-35F1-32564B9469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F00FE-B17E-42D0-B954-B763287B9F69}">
  <dimension ref="A2:X23"/>
  <sheetViews>
    <sheetView tabSelected="1" workbookViewId="0">
      <selection activeCell="C20" sqref="C20"/>
    </sheetView>
  </sheetViews>
  <sheetFormatPr defaultRowHeight="15" x14ac:dyDescent="0.25"/>
  <cols>
    <col min="1" max="1" width="15.28515625" customWidth="1"/>
    <col min="2" max="2" width="7.7109375" customWidth="1"/>
    <col min="3" max="3" width="7.85546875" customWidth="1"/>
    <col min="4" max="4" width="15.85546875" bestFit="1" customWidth="1"/>
    <col min="6" max="6" width="10.7109375" customWidth="1"/>
    <col min="7" max="8" width="11.28515625" customWidth="1"/>
    <col min="9" max="9" width="13.42578125" customWidth="1"/>
    <col min="10" max="12" width="11.28515625" customWidth="1"/>
    <col min="13" max="13" width="12.42578125" customWidth="1"/>
    <col min="14" max="17" width="11.28515625" customWidth="1"/>
    <col min="18" max="18" width="13.28515625" customWidth="1"/>
    <col min="19" max="19" width="11.28515625" customWidth="1"/>
    <col min="20" max="21" width="13" customWidth="1"/>
    <col min="24" max="24" width="11.140625" customWidth="1"/>
  </cols>
  <sheetData>
    <row r="2" spans="1:24" x14ac:dyDescent="0.25">
      <c r="A2" s="65" t="s">
        <v>0</v>
      </c>
      <c r="B2" s="65" t="s">
        <v>1</v>
      </c>
      <c r="C2" s="65" t="s">
        <v>2</v>
      </c>
      <c r="D2" s="65" t="s">
        <v>138</v>
      </c>
      <c r="E2" s="65" t="s">
        <v>4</v>
      </c>
      <c r="F2" s="65" t="s">
        <v>139</v>
      </c>
      <c r="G2" s="68" t="s">
        <v>5</v>
      </c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70"/>
      <c r="T2" s="65" t="s">
        <v>6</v>
      </c>
      <c r="U2" s="65" t="s">
        <v>140</v>
      </c>
      <c r="V2" s="67" t="s">
        <v>7</v>
      </c>
      <c r="W2" s="63" t="s">
        <v>141</v>
      </c>
      <c r="X2" s="65" t="s">
        <v>142</v>
      </c>
    </row>
    <row r="3" spans="1:24" ht="45" x14ac:dyDescent="0.25">
      <c r="A3" s="66"/>
      <c r="B3" s="66"/>
      <c r="C3" s="66"/>
      <c r="D3" s="66"/>
      <c r="E3" s="66"/>
      <c r="F3" s="66"/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  <c r="R3" s="1" t="s">
        <v>19</v>
      </c>
      <c r="S3" s="1" t="s">
        <v>20</v>
      </c>
      <c r="T3" s="66"/>
      <c r="U3" s="66"/>
      <c r="V3" s="64"/>
      <c r="W3" s="64"/>
      <c r="X3" s="66"/>
    </row>
    <row r="4" spans="1:24" x14ac:dyDescent="0.25">
      <c r="A4" s="2" t="s">
        <v>21</v>
      </c>
      <c r="B4" s="3">
        <v>1</v>
      </c>
      <c r="C4" s="4" t="s">
        <v>22</v>
      </c>
      <c r="D4" s="5" t="s">
        <v>23</v>
      </c>
      <c r="E4" s="6">
        <f>120+20</f>
        <v>140</v>
      </c>
      <c r="F4" s="3">
        <v>13.9</v>
      </c>
      <c r="G4" s="7">
        <v>0.7</v>
      </c>
      <c r="H4" s="7">
        <v>6.7</v>
      </c>
      <c r="I4" s="7"/>
      <c r="J4" s="7"/>
      <c r="K4" s="7">
        <v>1.4</v>
      </c>
      <c r="L4" s="7">
        <v>0.8</v>
      </c>
      <c r="M4" s="7"/>
      <c r="N4" s="7"/>
      <c r="O4" s="7">
        <v>0.5</v>
      </c>
      <c r="P4" s="7"/>
      <c r="Q4" s="7"/>
      <c r="R4" s="7"/>
      <c r="S4" s="7"/>
      <c r="T4" s="7">
        <f>SUM(G4:S4)</f>
        <v>10.100000000000001</v>
      </c>
      <c r="U4" s="37">
        <v>5</v>
      </c>
      <c r="V4" s="8" t="s">
        <v>24</v>
      </c>
      <c r="W4" s="8">
        <v>30.7</v>
      </c>
      <c r="X4" s="8">
        <v>0.4</v>
      </c>
    </row>
    <row r="5" spans="1:24" x14ac:dyDescent="0.25">
      <c r="A5" s="9"/>
      <c r="B5" s="10">
        <v>2</v>
      </c>
      <c r="C5" s="4" t="s">
        <v>25</v>
      </c>
      <c r="D5" s="11" t="s">
        <v>26</v>
      </c>
      <c r="E5" s="12">
        <f>120+9</f>
        <v>129</v>
      </c>
      <c r="F5" s="10">
        <v>13.2</v>
      </c>
      <c r="G5" s="13">
        <v>0.4</v>
      </c>
      <c r="H5" s="13">
        <v>5.4</v>
      </c>
      <c r="I5" s="13">
        <v>0.3</v>
      </c>
      <c r="J5" s="13">
        <v>0.4</v>
      </c>
      <c r="K5" s="13">
        <v>1.2</v>
      </c>
      <c r="L5" s="13">
        <v>1.1000000000000001</v>
      </c>
      <c r="M5" s="13">
        <v>3</v>
      </c>
      <c r="N5" s="13"/>
      <c r="O5" s="13">
        <v>0.9</v>
      </c>
      <c r="P5" s="13"/>
      <c r="Q5" s="13"/>
      <c r="R5" s="13"/>
      <c r="S5" s="13"/>
      <c r="T5" s="13">
        <f t="shared" ref="T5:T18" si="0">SUM(G5:S5)</f>
        <v>12.700000000000001</v>
      </c>
      <c r="U5" s="38">
        <v>8</v>
      </c>
      <c r="V5" s="14" t="s">
        <v>24</v>
      </c>
      <c r="W5" s="14">
        <v>30.2</v>
      </c>
      <c r="X5" s="14">
        <v>0.3</v>
      </c>
    </row>
    <row r="6" spans="1:24" x14ac:dyDescent="0.25">
      <c r="A6" s="15"/>
      <c r="B6" s="16">
        <v>3</v>
      </c>
      <c r="C6" s="4" t="s">
        <v>27</v>
      </c>
      <c r="D6" s="11" t="s">
        <v>28</v>
      </c>
      <c r="E6" s="17">
        <f>60+50</f>
        <v>110</v>
      </c>
      <c r="F6" s="16">
        <v>12.1</v>
      </c>
      <c r="G6" s="13">
        <v>0.1</v>
      </c>
      <c r="H6" s="13">
        <v>9.1</v>
      </c>
      <c r="I6" s="13"/>
      <c r="J6" s="13">
        <v>0.9</v>
      </c>
      <c r="K6" s="13">
        <v>1.6</v>
      </c>
      <c r="L6" s="13">
        <v>5.5</v>
      </c>
      <c r="M6" s="13"/>
      <c r="N6" s="13"/>
      <c r="O6" s="13">
        <v>0.25</v>
      </c>
      <c r="P6" s="13"/>
      <c r="Q6" s="13"/>
      <c r="R6" s="13"/>
      <c r="S6" s="13"/>
      <c r="T6" s="18">
        <f t="shared" si="0"/>
        <v>17.45</v>
      </c>
      <c r="U6" s="39">
        <v>6</v>
      </c>
      <c r="V6" s="19" t="s">
        <v>24</v>
      </c>
      <c r="W6" s="19">
        <v>30</v>
      </c>
      <c r="X6" s="14">
        <v>0.3</v>
      </c>
    </row>
    <row r="7" spans="1:24" x14ac:dyDescent="0.25">
      <c r="A7" s="2" t="s">
        <v>29</v>
      </c>
      <c r="B7" s="3">
        <v>4</v>
      </c>
      <c r="C7" s="3" t="s">
        <v>30</v>
      </c>
      <c r="D7" s="5" t="s">
        <v>31</v>
      </c>
      <c r="E7" s="6">
        <f>120+15</f>
        <v>135</v>
      </c>
      <c r="F7" s="36">
        <v>14</v>
      </c>
      <c r="G7" s="7">
        <v>0.53</v>
      </c>
      <c r="H7" s="7">
        <v>7.2</v>
      </c>
      <c r="I7" s="7"/>
      <c r="J7" s="7"/>
      <c r="K7" s="7">
        <v>1</v>
      </c>
      <c r="L7" s="7">
        <v>3.7</v>
      </c>
      <c r="M7" s="7"/>
      <c r="N7" s="7"/>
      <c r="O7" s="7"/>
      <c r="P7" s="7"/>
      <c r="Q7" s="7"/>
      <c r="R7" s="7"/>
      <c r="S7" s="7"/>
      <c r="T7" s="7">
        <f t="shared" si="0"/>
        <v>12.43</v>
      </c>
      <c r="U7" s="37">
        <v>4</v>
      </c>
      <c r="V7" s="8" t="s">
        <v>24</v>
      </c>
      <c r="W7" s="8">
        <v>30.5</v>
      </c>
      <c r="X7" s="8">
        <v>0.2</v>
      </c>
    </row>
    <row r="8" spans="1:24" x14ac:dyDescent="0.25">
      <c r="A8" s="15"/>
      <c r="B8" s="16">
        <v>5</v>
      </c>
      <c r="C8" s="16" t="s">
        <v>32</v>
      </c>
      <c r="D8" s="21" t="s">
        <v>33</v>
      </c>
      <c r="E8" s="17">
        <f>60+43</f>
        <v>103</v>
      </c>
      <c r="F8" s="16">
        <v>12.5</v>
      </c>
      <c r="G8" s="18">
        <v>1.3</v>
      </c>
      <c r="H8" s="18">
        <v>2.5</v>
      </c>
      <c r="I8" s="18"/>
      <c r="J8" s="18">
        <v>0.05</v>
      </c>
      <c r="K8" s="18">
        <v>0.1</v>
      </c>
      <c r="L8" s="18">
        <v>1</v>
      </c>
      <c r="M8" s="18"/>
      <c r="N8" s="18">
        <v>0.8</v>
      </c>
      <c r="O8" s="18">
        <v>0.3</v>
      </c>
      <c r="P8" s="18">
        <v>3.2</v>
      </c>
      <c r="Q8" s="18"/>
      <c r="R8" s="18"/>
      <c r="S8" s="18"/>
      <c r="T8" s="18">
        <f t="shared" si="0"/>
        <v>9.25</v>
      </c>
      <c r="U8" s="39">
        <v>8</v>
      </c>
      <c r="V8" s="19" t="s">
        <v>24</v>
      </c>
      <c r="W8" s="19">
        <v>30.1</v>
      </c>
      <c r="X8" s="19">
        <v>0.2</v>
      </c>
    </row>
    <row r="9" spans="1:24" x14ac:dyDescent="0.25">
      <c r="A9" s="20">
        <v>44655</v>
      </c>
      <c r="B9" s="3">
        <v>6</v>
      </c>
      <c r="C9" s="3" t="s">
        <v>34</v>
      </c>
      <c r="D9" s="5" t="s">
        <v>35</v>
      </c>
      <c r="E9" s="6">
        <f>60+54</f>
        <v>114</v>
      </c>
      <c r="F9" s="3">
        <v>12.4</v>
      </c>
      <c r="G9" s="7">
        <v>0.4</v>
      </c>
      <c r="H9" s="7">
        <v>12.3</v>
      </c>
      <c r="I9" s="7"/>
      <c r="J9" s="7">
        <v>0.2</v>
      </c>
      <c r="K9" s="7">
        <v>0.1</v>
      </c>
      <c r="L9" s="7">
        <v>0.8</v>
      </c>
      <c r="M9" s="7">
        <v>0.2</v>
      </c>
      <c r="N9" s="7"/>
      <c r="O9" s="7">
        <v>0.1</v>
      </c>
      <c r="P9" s="7"/>
      <c r="Q9" s="7"/>
      <c r="R9" s="7"/>
      <c r="S9" s="7"/>
      <c r="T9" s="7">
        <f t="shared" si="0"/>
        <v>14.1</v>
      </c>
      <c r="U9" s="37">
        <v>7</v>
      </c>
      <c r="V9" s="8" t="s">
        <v>24</v>
      </c>
      <c r="W9" s="14">
        <v>30.7</v>
      </c>
      <c r="X9" s="8">
        <v>0.4</v>
      </c>
    </row>
    <row r="10" spans="1:24" x14ac:dyDescent="0.25">
      <c r="A10" s="34"/>
      <c r="B10" s="10">
        <v>7</v>
      </c>
      <c r="C10" s="4" t="s">
        <v>36</v>
      </c>
      <c r="D10" s="11" t="s">
        <v>37</v>
      </c>
      <c r="E10" s="4">
        <f>120+22</f>
        <v>142</v>
      </c>
      <c r="F10" s="10">
        <v>13.5</v>
      </c>
      <c r="G10" s="13">
        <v>0.4</v>
      </c>
      <c r="H10" s="13">
        <v>4.5999999999999996</v>
      </c>
      <c r="I10" s="13">
        <v>0.1</v>
      </c>
      <c r="J10" s="13"/>
      <c r="K10" s="13">
        <v>5.9</v>
      </c>
      <c r="L10" s="13">
        <v>0.3</v>
      </c>
      <c r="M10" s="13">
        <v>0.25</v>
      </c>
      <c r="N10" s="13"/>
      <c r="O10" s="13">
        <v>0.1</v>
      </c>
      <c r="P10" s="13">
        <v>0.2</v>
      </c>
      <c r="Q10" s="13"/>
      <c r="R10" s="13"/>
      <c r="S10" s="13"/>
      <c r="T10" s="13">
        <f t="shared" si="0"/>
        <v>11.85</v>
      </c>
      <c r="U10" s="38">
        <v>8</v>
      </c>
      <c r="V10" s="14" t="s">
        <v>24</v>
      </c>
      <c r="W10" s="14">
        <v>30.2</v>
      </c>
      <c r="X10" s="14">
        <v>0.4</v>
      </c>
    </row>
    <row r="11" spans="1:24" x14ac:dyDescent="0.25">
      <c r="A11" s="9"/>
      <c r="B11" s="10">
        <v>8</v>
      </c>
      <c r="C11" s="4" t="s">
        <v>38</v>
      </c>
      <c r="D11" s="11" t="s">
        <v>39</v>
      </c>
      <c r="E11" s="4">
        <f>120+18</f>
        <v>138</v>
      </c>
      <c r="F11" s="10">
        <v>13.5</v>
      </c>
      <c r="G11" s="13">
        <v>0.4</v>
      </c>
      <c r="H11" s="13">
        <v>7.6</v>
      </c>
      <c r="I11" s="13"/>
      <c r="J11" s="13">
        <v>0.2</v>
      </c>
      <c r="K11" s="13">
        <v>0.5</v>
      </c>
      <c r="L11" s="13">
        <v>2.9</v>
      </c>
      <c r="M11" s="13"/>
      <c r="N11" s="13"/>
      <c r="O11" s="13">
        <v>0.05</v>
      </c>
      <c r="P11" s="13">
        <v>6.8</v>
      </c>
      <c r="Q11" s="13">
        <v>1.1000000000000001</v>
      </c>
      <c r="R11" s="13">
        <v>0.3</v>
      </c>
      <c r="S11" s="13">
        <v>0.5</v>
      </c>
      <c r="T11" s="13">
        <f t="shared" si="0"/>
        <v>20.350000000000001</v>
      </c>
      <c r="U11" s="38">
        <v>10</v>
      </c>
      <c r="V11" s="14" t="s">
        <v>24</v>
      </c>
      <c r="W11" s="14">
        <v>29.5</v>
      </c>
      <c r="X11" s="14">
        <v>0.4</v>
      </c>
    </row>
    <row r="12" spans="1:24" x14ac:dyDescent="0.25">
      <c r="A12" s="15"/>
      <c r="B12" s="16">
        <v>9</v>
      </c>
      <c r="C12" s="4" t="s">
        <v>40</v>
      </c>
      <c r="D12" s="11" t="s">
        <v>41</v>
      </c>
      <c r="E12" s="4">
        <f>60+29</f>
        <v>89</v>
      </c>
      <c r="F12" s="16">
        <v>12.6</v>
      </c>
      <c r="G12" s="13">
        <v>0.3</v>
      </c>
      <c r="H12" s="13">
        <v>3.4</v>
      </c>
      <c r="I12" s="13"/>
      <c r="J12" s="13"/>
      <c r="K12" s="13">
        <v>4.2</v>
      </c>
      <c r="L12" s="13">
        <f>20+2.9</f>
        <v>22.9</v>
      </c>
      <c r="M12" s="13">
        <v>0.7</v>
      </c>
      <c r="N12" s="13"/>
      <c r="O12" s="13"/>
      <c r="P12" s="13"/>
      <c r="Q12" s="13">
        <v>0.4</v>
      </c>
      <c r="R12" s="13"/>
      <c r="S12" s="13">
        <v>0.2</v>
      </c>
      <c r="T12" s="18">
        <f t="shared" si="0"/>
        <v>32.099999999999994</v>
      </c>
      <c r="U12" s="39">
        <v>7</v>
      </c>
      <c r="V12" s="19" t="s">
        <v>24</v>
      </c>
      <c r="W12" s="19">
        <v>30.2</v>
      </c>
      <c r="X12" s="14">
        <v>0.2</v>
      </c>
    </row>
    <row r="13" spans="1:24" x14ac:dyDescent="0.25">
      <c r="A13" s="20">
        <v>44656</v>
      </c>
      <c r="B13" s="3">
        <v>10</v>
      </c>
      <c r="C13" s="3" t="s">
        <v>42</v>
      </c>
      <c r="D13" s="5" t="s">
        <v>43</v>
      </c>
      <c r="E13" s="6">
        <f>60+56</f>
        <v>116</v>
      </c>
      <c r="F13" s="3">
        <v>12.6</v>
      </c>
      <c r="G13" s="7">
        <v>1.2</v>
      </c>
      <c r="H13" s="7">
        <f>20+0.2</f>
        <v>20.2</v>
      </c>
      <c r="I13" s="7"/>
      <c r="J13" s="7">
        <v>0.9</v>
      </c>
      <c r="K13" s="7">
        <v>2.4</v>
      </c>
      <c r="L13" s="7">
        <v>1.3</v>
      </c>
      <c r="M13" s="7"/>
      <c r="N13" s="7"/>
      <c r="O13" s="7">
        <v>0.1</v>
      </c>
      <c r="P13" s="7"/>
      <c r="Q13" s="7"/>
      <c r="R13" s="7"/>
      <c r="S13" s="7"/>
      <c r="T13" s="7">
        <f t="shared" si="0"/>
        <v>26.099999999999998</v>
      </c>
      <c r="U13" s="37">
        <v>6</v>
      </c>
      <c r="V13" s="8" t="s">
        <v>24</v>
      </c>
      <c r="W13" s="8">
        <v>30.5</v>
      </c>
      <c r="X13" s="8">
        <v>0.3</v>
      </c>
    </row>
    <row r="14" spans="1:24" x14ac:dyDescent="0.25">
      <c r="A14" s="9"/>
      <c r="B14" s="10">
        <v>11</v>
      </c>
      <c r="C14" s="10" t="s">
        <v>44</v>
      </c>
      <c r="D14" s="11" t="s">
        <v>45</v>
      </c>
      <c r="E14" s="12">
        <f>60+48</f>
        <v>108</v>
      </c>
      <c r="F14" s="10">
        <v>13.1</v>
      </c>
      <c r="G14" s="13">
        <v>0.4</v>
      </c>
      <c r="H14" s="13">
        <v>2.5</v>
      </c>
      <c r="I14" s="13">
        <v>0.2</v>
      </c>
      <c r="J14" s="13"/>
      <c r="K14" s="13">
        <v>0.8</v>
      </c>
      <c r="L14" s="13">
        <v>1.6</v>
      </c>
      <c r="M14" s="13"/>
      <c r="N14" s="13"/>
      <c r="O14" s="13">
        <v>0.3</v>
      </c>
      <c r="P14" s="13"/>
      <c r="Q14" s="13"/>
      <c r="R14" s="13"/>
      <c r="S14" s="13"/>
      <c r="T14" s="13">
        <f t="shared" si="0"/>
        <v>5.8</v>
      </c>
      <c r="U14" s="38">
        <v>6</v>
      </c>
      <c r="V14" s="14" t="s">
        <v>24</v>
      </c>
      <c r="W14" s="14">
        <v>30.7</v>
      </c>
      <c r="X14" s="14">
        <v>0.3</v>
      </c>
    </row>
    <row r="15" spans="1:24" x14ac:dyDescent="0.25">
      <c r="A15" s="15"/>
      <c r="B15" s="16">
        <v>12</v>
      </c>
      <c r="C15" s="16" t="s">
        <v>46</v>
      </c>
      <c r="D15" s="11" t="s">
        <v>47</v>
      </c>
      <c r="E15" s="17">
        <f>60+45</f>
        <v>105</v>
      </c>
      <c r="F15" s="16">
        <v>13.3</v>
      </c>
      <c r="G15" s="18">
        <v>1.3</v>
      </c>
      <c r="H15" s="18">
        <v>3.2</v>
      </c>
      <c r="I15" s="18"/>
      <c r="J15" s="18">
        <v>0.3</v>
      </c>
      <c r="K15" s="18"/>
      <c r="L15" s="18">
        <v>1.7</v>
      </c>
      <c r="M15" s="18"/>
      <c r="N15" s="18"/>
      <c r="O15" s="18"/>
      <c r="P15" s="18"/>
      <c r="Q15" s="18"/>
      <c r="R15" s="18"/>
      <c r="S15" s="18"/>
      <c r="T15" s="18">
        <f t="shared" si="0"/>
        <v>6.5</v>
      </c>
      <c r="U15" s="39">
        <v>4</v>
      </c>
      <c r="V15" s="19" t="s">
        <v>24</v>
      </c>
      <c r="W15" s="19">
        <v>30.5</v>
      </c>
      <c r="X15" s="14">
        <v>0.1</v>
      </c>
    </row>
    <row r="16" spans="1:24" x14ac:dyDescent="0.25">
      <c r="A16" s="20">
        <v>44657</v>
      </c>
      <c r="B16" s="3">
        <v>13</v>
      </c>
      <c r="C16" s="3" t="s">
        <v>48</v>
      </c>
      <c r="D16" s="5" t="s">
        <v>49</v>
      </c>
      <c r="E16" s="6">
        <f>120+14</f>
        <v>134</v>
      </c>
      <c r="F16" s="3">
        <v>12.6</v>
      </c>
      <c r="G16" s="7">
        <v>0.2</v>
      </c>
      <c r="H16" s="7">
        <v>2.7</v>
      </c>
      <c r="I16" s="7">
        <v>0.3</v>
      </c>
      <c r="J16" s="7">
        <v>0.3</v>
      </c>
      <c r="K16" s="7"/>
      <c r="L16" s="7">
        <v>0.3</v>
      </c>
      <c r="M16" s="7">
        <v>0.4</v>
      </c>
      <c r="N16" s="7"/>
      <c r="O16" s="7">
        <v>0.2</v>
      </c>
      <c r="P16" s="7"/>
      <c r="Q16" s="7"/>
      <c r="R16" s="7"/>
      <c r="S16" s="7"/>
      <c r="T16" s="7">
        <f t="shared" si="0"/>
        <v>4.4000000000000004</v>
      </c>
      <c r="U16" s="37">
        <v>7</v>
      </c>
      <c r="V16" s="8" t="s">
        <v>24</v>
      </c>
      <c r="W16" s="8">
        <v>31.2</v>
      </c>
      <c r="X16" s="8">
        <v>0.3</v>
      </c>
    </row>
    <row r="17" spans="1:24" x14ac:dyDescent="0.25">
      <c r="A17" s="14"/>
      <c r="B17" s="10">
        <v>14</v>
      </c>
      <c r="C17" s="10" t="s">
        <v>50</v>
      </c>
      <c r="D17" s="11" t="s">
        <v>51</v>
      </c>
      <c r="E17" s="12">
        <f>60+35</f>
        <v>95</v>
      </c>
      <c r="F17" s="10">
        <v>13.1</v>
      </c>
      <c r="G17" s="13">
        <v>0.1</v>
      </c>
      <c r="H17" s="13">
        <f>0.6+10</f>
        <v>10.6</v>
      </c>
      <c r="I17" s="13">
        <v>0.1</v>
      </c>
      <c r="J17" s="13">
        <v>3.1</v>
      </c>
      <c r="K17" s="13">
        <v>0.3</v>
      </c>
      <c r="L17" s="13">
        <v>0.1</v>
      </c>
      <c r="M17" s="13">
        <v>0.4</v>
      </c>
      <c r="N17" s="13"/>
      <c r="O17" s="13"/>
      <c r="P17" s="13"/>
      <c r="Q17" s="13"/>
      <c r="R17" s="13" t="s">
        <v>52</v>
      </c>
      <c r="S17" s="13"/>
      <c r="T17" s="13">
        <f t="shared" si="0"/>
        <v>14.7</v>
      </c>
      <c r="U17" s="38">
        <v>8</v>
      </c>
      <c r="V17" s="14" t="s">
        <v>24</v>
      </c>
      <c r="W17" s="14">
        <v>30</v>
      </c>
      <c r="X17" s="14">
        <v>0.2</v>
      </c>
    </row>
    <row r="18" spans="1:24" x14ac:dyDescent="0.25">
      <c r="A18" s="19"/>
      <c r="B18" s="16">
        <v>15</v>
      </c>
      <c r="C18" s="16" t="s">
        <v>53</v>
      </c>
      <c r="D18" s="21" t="s">
        <v>54</v>
      </c>
      <c r="E18" s="17">
        <f>60+59</f>
        <v>119</v>
      </c>
      <c r="F18" s="16">
        <v>13.3</v>
      </c>
      <c r="G18" s="18">
        <v>0.4</v>
      </c>
      <c r="H18" s="18">
        <f>2.6+9.4+0.3</f>
        <v>12.3</v>
      </c>
      <c r="I18" s="18"/>
      <c r="J18" s="18">
        <v>6.4</v>
      </c>
      <c r="K18" s="18"/>
      <c r="L18" s="18">
        <v>0.1</v>
      </c>
      <c r="M18" s="18">
        <v>0.3</v>
      </c>
      <c r="N18" s="18">
        <v>0.2</v>
      </c>
      <c r="O18" s="18"/>
      <c r="P18" s="18"/>
      <c r="Q18" s="18"/>
      <c r="R18" s="18"/>
      <c r="S18" s="18"/>
      <c r="T18" s="18">
        <f t="shared" si="0"/>
        <v>19.700000000000003</v>
      </c>
      <c r="U18" s="39">
        <v>6</v>
      </c>
      <c r="V18" s="19" t="s">
        <v>24</v>
      </c>
      <c r="W18" s="19">
        <v>30</v>
      </c>
      <c r="X18" s="19">
        <v>0.1</v>
      </c>
    </row>
    <row r="19" spans="1:24" x14ac:dyDescent="0.25">
      <c r="A19" s="71" t="s">
        <v>55</v>
      </c>
      <c r="B19" s="72"/>
      <c r="C19" s="74"/>
      <c r="D19" s="74"/>
      <c r="E19" s="74"/>
      <c r="F19" s="75"/>
      <c r="G19" s="76">
        <f t="shared" ref="G19:S19" si="1">SUM(G4:G18)</f>
        <v>8.1300000000000008</v>
      </c>
      <c r="H19" s="76">
        <f t="shared" si="1"/>
        <v>110.3</v>
      </c>
      <c r="I19" s="76">
        <f t="shared" si="1"/>
        <v>1.0000000000000002</v>
      </c>
      <c r="J19" s="76">
        <f t="shared" si="1"/>
        <v>12.75</v>
      </c>
      <c r="K19" s="76">
        <f t="shared" si="1"/>
        <v>19.5</v>
      </c>
      <c r="L19" s="76">
        <f t="shared" si="1"/>
        <v>44.1</v>
      </c>
      <c r="M19" s="76">
        <f t="shared" si="1"/>
        <v>5.2500000000000009</v>
      </c>
      <c r="N19" s="76">
        <f t="shared" si="1"/>
        <v>1</v>
      </c>
      <c r="O19" s="76">
        <f t="shared" si="1"/>
        <v>2.8</v>
      </c>
      <c r="P19" s="76">
        <f t="shared" si="1"/>
        <v>10.199999999999999</v>
      </c>
      <c r="Q19" s="76">
        <f t="shared" si="1"/>
        <v>1.5</v>
      </c>
      <c r="R19" s="76">
        <f t="shared" si="1"/>
        <v>0.3</v>
      </c>
      <c r="S19" s="76">
        <f t="shared" si="1"/>
        <v>0.7</v>
      </c>
      <c r="T19" s="76">
        <f>SUM(T4:T18)</f>
        <v>217.52999999999997</v>
      </c>
      <c r="U19" s="22"/>
    </row>
    <row r="20" spans="1:24" x14ac:dyDescent="0.25">
      <c r="C20" s="62"/>
      <c r="D20" s="83" t="s">
        <v>159</v>
      </c>
      <c r="E20" s="79">
        <f>AVERAGE(E4:E18)</f>
        <v>118.46666666666667</v>
      </c>
      <c r="F20" s="79">
        <f>AVERAGE(F4:F18)</f>
        <v>13.046666666666669</v>
      </c>
      <c r="G20" s="79">
        <f>AVERAGE(G4:G18)</f>
        <v>0.54200000000000004</v>
      </c>
      <c r="H20" s="79">
        <f t="shared" ref="H20:S20" si="2">AVERAGE(H4:H18)</f>
        <v>7.3533333333333335</v>
      </c>
      <c r="I20" s="79">
        <f t="shared" si="2"/>
        <v>0.20000000000000004</v>
      </c>
      <c r="J20" s="79">
        <f t="shared" si="2"/>
        <v>1.2749999999999999</v>
      </c>
      <c r="K20" s="79">
        <f t="shared" si="2"/>
        <v>1.625</v>
      </c>
      <c r="L20" s="79">
        <f t="shared" si="2"/>
        <v>2.94</v>
      </c>
      <c r="M20" s="79">
        <f t="shared" si="2"/>
        <v>0.75000000000000011</v>
      </c>
      <c r="N20" s="79">
        <f t="shared" si="2"/>
        <v>0.5</v>
      </c>
      <c r="O20" s="79">
        <f t="shared" si="2"/>
        <v>0.27999999999999997</v>
      </c>
      <c r="P20" s="79">
        <f t="shared" si="2"/>
        <v>3.4</v>
      </c>
      <c r="Q20" s="79">
        <f t="shared" si="2"/>
        <v>0.75</v>
      </c>
      <c r="R20" s="79">
        <f t="shared" si="2"/>
        <v>0.3</v>
      </c>
      <c r="S20" s="79">
        <f t="shared" si="2"/>
        <v>0.35</v>
      </c>
      <c r="T20" s="79">
        <f t="shared" ref="T20" si="3">AVERAGE(T4:T18)</f>
        <v>14.501999999999999</v>
      </c>
      <c r="U20" s="79">
        <f t="shared" ref="U20" si="4">AVERAGE(U4:U18)</f>
        <v>6.666666666666667</v>
      </c>
    </row>
    <row r="21" spans="1:24" x14ac:dyDescent="0.25">
      <c r="C21" s="62"/>
      <c r="D21" s="83" t="s">
        <v>160</v>
      </c>
      <c r="E21" s="80">
        <f>_xlfn.STDEV.S(E4:E18)</f>
        <v>17.053975936364385</v>
      </c>
      <c r="F21" s="80">
        <f>_xlfn.STDEV.S(F4:F18)</f>
        <v>0.56171506079489242</v>
      </c>
      <c r="G21" s="80">
        <f>_xlfn.STDEV.S(G4:G18)</f>
        <v>0.4048315346271476</v>
      </c>
      <c r="H21" s="80">
        <f t="shared" ref="H21:S21" si="5">_xlfn.STDEV.S(H4:H18)</f>
        <v>4.9361446301262095</v>
      </c>
      <c r="I21" s="80">
        <f t="shared" si="5"/>
        <v>9.9999999999999908E-2</v>
      </c>
      <c r="J21" s="81">
        <f t="shared" si="5"/>
        <v>2.0098714718442405</v>
      </c>
      <c r="K21" s="81">
        <f t="shared" si="5"/>
        <v>1.7705289399704054</v>
      </c>
      <c r="L21" s="81">
        <f t="shared" si="5"/>
        <v>5.719240708845386</v>
      </c>
      <c r="M21" s="81">
        <f t="shared" si="5"/>
        <v>1.0054020754570447</v>
      </c>
      <c r="N21" s="81">
        <f t="shared" si="5"/>
        <v>0.42426406871192868</v>
      </c>
      <c r="O21" s="81">
        <f t="shared" si="5"/>
        <v>0.25625508125043434</v>
      </c>
      <c r="P21" s="81">
        <f t="shared" si="5"/>
        <v>3.3045423283716611</v>
      </c>
      <c r="Q21" s="81">
        <f t="shared" si="5"/>
        <v>0.4949747468305834</v>
      </c>
      <c r="R21" s="81" t="e">
        <f t="shared" si="5"/>
        <v>#DIV/0!</v>
      </c>
      <c r="S21" s="81">
        <f t="shared" si="5"/>
        <v>0.21213203435596442</v>
      </c>
      <c r="T21" s="81">
        <f t="shared" ref="T21" si="6">_xlfn.STDEV.S(T4:T18)</f>
        <v>7.6422455563045881</v>
      </c>
      <c r="U21" s="81">
        <f t="shared" ref="U21" si="7">_xlfn.STDEV.S(U4:U18)</f>
        <v>1.6329931618554527</v>
      </c>
    </row>
    <row r="23" spans="1:24" x14ac:dyDescent="0.25">
      <c r="E23">
        <v>85</v>
      </c>
    </row>
  </sheetData>
  <mergeCells count="13">
    <mergeCell ref="G2:S2"/>
    <mergeCell ref="F2:F3"/>
    <mergeCell ref="A19:F19"/>
    <mergeCell ref="A2:A3"/>
    <mergeCell ref="B2:B3"/>
    <mergeCell ref="C2:C3"/>
    <mergeCell ref="D2:D3"/>
    <mergeCell ref="E2:E3"/>
    <mergeCell ref="W2:W3"/>
    <mergeCell ref="X2:X3"/>
    <mergeCell ref="V2:V3"/>
    <mergeCell ref="T2:T3"/>
    <mergeCell ref="U2:U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2A2E7-BB13-4F29-97B6-453A0F53586B}">
  <dimension ref="A2:S23"/>
  <sheetViews>
    <sheetView topLeftCell="B4" workbookViewId="0">
      <selection activeCell="D20" sqref="D20:D21"/>
    </sheetView>
  </sheetViews>
  <sheetFormatPr defaultRowHeight="15" x14ac:dyDescent="0.25"/>
  <cols>
    <col min="1" max="1" width="15.28515625" customWidth="1"/>
    <col min="2" max="2" width="7.7109375" customWidth="1"/>
    <col min="3" max="3" width="7.85546875" customWidth="1"/>
    <col min="4" max="4" width="15.85546875" bestFit="1" customWidth="1"/>
    <col min="6" max="6" width="10.7109375" customWidth="1"/>
    <col min="7" max="8" width="11.28515625" customWidth="1"/>
    <col min="9" max="9" width="13.42578125" customWidth="1"/>
    <col min="10" max="12" width="11.28515625" customWidth="1"/>
    <col min="13" max="13" width="12.42578125" customWidth="1"/>
    <col min="14" max="14" width="11.28515625" customWidth="1"/>
    <col min="15" max="16" width="13" customWidth="1"/>
    <col min="19" max="19" width="11.28515625" customWidth="1"/>
  </cols>
  <sheetData>
    <row r="2" spans="1:19" x14ac:dyDescent="0.25">
      <c r="A2" s="65" t="s">
        <v>0</v>
      </c>
      <c r="B2" s="65" t="s">
        <v>1</v>
      </c>
      <c r="C2" s="65" t="s">
        <v>2</v>
      </c>
      <c r="D2" s="65" t="s">
        <v>138</v>
      </c>
      <c r="E2" s="65" t="s">
        <v>4</v>
      </c>
      <c r="F2" s="65" t="s">
        <v>139</v>
      </c>
      <c r="G2" s="73" t="s">
        <v>5</v>
      </c>
      <c r="H2" s="73"/>
      <c r="I2" s="73"/>
      <c r="J2" s="73"/>
      <c r="K2" s="73"/>
      <c r="L2" s="73"/>
      <c r="M2" s="73"/>
      <c r="N2" s="73"/>
      <c r="O2" s="65" t="s">
        <v>6</v>
      </c>
      <c r="P2" s="65" t="s">
        <v>140</v>
      </c>
      <c r="Q2" s="67" t="s">
        <v>7</v>
      </c>
      <c r="R2" s="67" t="s">
        <v>141</v>
      </c>
      <c r="S2" s="65" t="s">
        <v>142</v>
      </c>
    </row>
    <row r="3" spans="1:19" ht="45" x14ac:dyDescent="0.25">
      <c r="A3" s="66"/>
      <c r="B3" s="66"/>
      <c r="C3" s="66"/>
      <c r="D3" s="66"/>
      <c r="E3" s="66"/>
      <c r="F3" s="66"/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66"/>
      <c r="P3" s="66"/>
      <c r="Q3" s="64"/>
      <c r="R3" s="64"/>
      <c r="S3" s="66"/>
    </row>
    <row r="4" spans="1:19" x14ac:dyDescent="0.25">
      <c r="A4" s="2" t="s">
        <v>21</v>
      </c>
      <c r="B4" s="3">
        <v>1</v>
      </c>
      <c r="C4" s="3" t="s">
        <v>56</v>
      </c>
      <c r="D4" s="5" t="s">
        <v>57</v>
      </c>
      <c r="E4" s="4">
        <f>240+47</f>
        <v>287</v>
      </c>
      <c r="F4" s="7">
        <v>10.6</v>
      </c>
      <c r="G4" s="7">
        <v>0.5</v>
      </c>
      <c r="H4" s="7">
        <v>0.6</v>
      </c>
      <c r="I4" s="7"/>
      <c r="J4" s="7"/>
      <c r="K4" s="7"/>
      <c r="L4" s="7">
        <v>1.2</v>
      </c>
      <c r="M4" s="7"/>
      <c r="N4" s="7"/>
      <c r="O4" s="7">
        <f>SUM(G4:N4)</f>
        <v>2.2999999999999998</v>
      </c>
      <c r="P4" s="37">
        <v>3</v>
      </c>
      <c r="Q4" s="8" t="s">
        <v>24</v>
      </c>
      <c r="R4" s="8">
        <v>30.7</v>
      </c>
      <c r="S4" s="8">
        <v>0.4</v>
      </c>
    </row>
    <row r="5" spans="1:19" x14ac:dyDescent="0.25">
      <c r="A5" s="9"/>
      <c r="B5" s="10">
        <v>2</v>
      </c>
      <c r="C5" s="10" t="s">
        <v>58</v>
      </c>
      <c r="D5" s="11" t="s">
        <v>59</v>
      </c>
      <c r="E5" s="4">
        <f>240+15</f>
        <v>255</v>
      </c>
      <c r="F5" s="13">
        <v>9.3000000000000007</v>
      </c>
      <c r="G5" s="13">
        <v>1.2</v>
      </c>
      <c r="H5" s="13">
        <v>3.6</v>
      </c>
      <c r="I5" s="13"/>
      <c r="J5" s="13"/>
      <c r="K5" s="13"/>
      <c r="L5" s="13">
        <v>2.7</v>
      </c>
      <c r="M5" s="13"/>
      <c r="N5" s="13"/>
      <c r="O5" s="13">
        <f>SUM(G5:N5)</f>
        <v>7.5</v>
      </c>
      <c r="P5" s="38">
        <v>3</v>
      </c>
      <c r="Q5" s="14" t="s">
        <v>24</v>
      </c>
      <c r="R5" s="14">
        <v>30.2</v>
      </c>
      <c r="S5" s="14">
        <v>0.3</v>
      </c>
    </row>
    <row r="6" spans="1:19" x14ac:dyDescent="0.25">
      <c r="A6" s="15"/>
      <c r="B6" s="16">
        <v>3</v>
      </c>
      <c r="C6" s="16" t="s">
        <v>60</v>
      </c>
      <c r="D6" s="21" t="s">
        <v>61</v>
      </c>
      <c r="E6" s="4">
        <f>240+1</f>
        <v>241</v>
      </c>
      <c r="F6" s="18">
        <v>8.9</v>
      </c>
      <c r="G6" s="18"/>
      <c r="H6" s="18">
        <f>5+5+0.5</f>
        <v>10.5</v>
      </c>
      <c r="I6" s="18"/>
      <c r="J6" s="18">
        <v>0.7</v>
      </c>
      <c r="K6" s="18"/>
      <c r="L6" s="18"/>
      <c r="M6" s="18"/>
      <c r="N6" s="18"/>
      <c r="O6" s="18">
        <f>SUM(G6:N6)</f>
        <v>11.2</v>
      </c>
      <c r="P6" s="39">
        <v>2</v>
      </c>
      <c r="Q6" s="19" t="s">
        <v>24</v>
      </c>
      <c r="R6" s="19">
        <v>30</v>
      </c>
      <c r="S6" s="14">
        <v>0.3</v>
      </c>
    </row>
    <row r="7" spans="1:19" x14ac:dyDescent="0.25">
      <c r="A7" s="2" t="s">
        <v>29</v>
      </c>
      <c r="B7" s="3">
        <v>4</v>
      </c>
      <c r="C7" s="3" t="s">
        <v>62</v>
      </c>
      <c r="D7" s="5" t="s">
        <v>63</v>
      </c>
      <c r="E7" s="6">
        <f>300+28</f>
        <v>328</v>
      </c>
      <c r="F7" s="7">
        <v>11.5</v>
      </c>
      <c r="G7" s="13">
        <v>1.5</v>
      </c>
      <c r="H7" s="13">
        <v>2.9</v>
      </c>
      <c r="I7" s="13"/>
      <c r="J7" s="13"/>
      <c r="K7" s="13"/>
      <c r="L7" s="13"/>
      <c r="M7" s="13"/>
      <c r="N7" s="13"/>
      <c r="O7" s="7">
        <f>SUM(G7:N7)</f>
        <v>4.4000000000000004</v>
      </c>
      <c r="P7" s="37">
        <v>2</v>
      </c>
      <c r="Q7" s="8" t="s">
        <v>24</v>
      </c>
      <c r="R7" s="8">
        <v>30.5</v>
      </c>
      <c r="S7" s="8">
        <v>0.3</v>
      </c>
    </row>
    <row r="8" spans="1:19" x14ac:dyDescent="0.25">
      <c r="A8" s="9"/>
      <c r="B8" s="10">
        <v>5</v>
      </c>
      <c r="C8" s="10" t="s">
        <v>64</v>
      </c>
      <c r="D8" s="11" t="s">
        <v>65</v>
      </c>
      <c r="E8" s="12">
        <f>300+10</f>
        <v>310</v>
      </c>
      <c r="F8" s="13">
        <v>11.7</v>
      </c>
      <c r="G8" s="13">
        <v>1.3</v>
      </c>
      <c r="H8" s="13">
        <v>0.5</v>
      </c>
      <c r="I8" s="13"/>
      <c r="J8" s="13"/>
      <c r="K8" s="13">
        <v>0.6</v>
      </c>
      <c r="L8" s="13">
        <v>2.6</v>
      </c>
      <c r="M8" s="13"/>
      <c r="N8" s="13"/>
      <c r="O8" s="13">
        <f>SUM(G8:N8)</f>
        <v>5</v>
      </c>
      <c r="P8" s="38">
        <v>4</v>
      </c>
      <c r="Q8" s="14" t="s">
        <v>24</v>
      </c>
      <c r="R8" s="14">
        <v>30.1</v>
      </c>
      <c r="S8" s="14">
        <v>0.2</v>
      </c>
    </row>
    <row r="9" spans="1:19" x14ac:dyDescent="0.25">
      <c r="A9" s="15"/>
      <c r="B9" s="16">
        <v>6</v>
      </c>
      <c r="C9" s="16" t="s">
        <v>66</v>
      </c>
      <c r="D9" s="21" t="s">
        <v>67</v>
      </c>
      <c r="E9" s="4">
        <f>240+51</f>
        <v>291</v>
      </c>
      <c r="F9" s="18">
        <v>9.8000000000000007</v>
      </c>
      <c r="G9" s="13">
        <v>1.3</v>
      </c>
      <c r="H9" s="13">
        <v>0.9</v>
      </c>
      <c r="I9" s="13"/>
      <c r="J9" s="13"/>
      <c r="K9" s="13"/>
      <c r="L9" s="13"/>
      <c r="M9" s="13"/>
      <c r="N9" s="13"/>
      <c r="O9" s="18">
        <f>SUM(G9:N9)</f>
        <v>2.2000000000000002</v>
      </c>
      <c r="P9" s="39">
        <v>2</v>
      </c>
      <c r="Q9" s="19" t="s">
        <v>24</v>
      </c>
      <c r="R9" s="19">
        <v>30.7</v>
      </c>
      <c r="S9" s="14">
        <v>0.2</v>
      </c>
    </row>
    <row r="10" spans="1:19" x14ac:dyDescent="0.25">
      <c r="A10" s="20">
        <v>44655</v>
      </c>
      <c r="B10" s="3">
        <v>7</v>
      </c>
      <c r="C10" s="3" t="s">
        <v>68</v>
      </c>
      <c r="D10" s="5" t="s">
        <v>69</v>
      </c>
      <c r="E10" s="3">
        <f>240+2</f>
        <v>242</v>
      </c>
      <c r="F10" s="35">
        <v>8.8000000000000007</v>
      </c>
      <c r="G10" s="7">
        <v>0.4</v>
      </c>
      <c r="H10" s="7">
        <v>4.5</v>
      </c>
      <c r="I10" s="7"/>
      <c r="J10" s="7"/>
      <c r="K10" s="7">
        <f>5+5+0.5</f>
        <v>10.5</v>
      </c>
      <c r="L10" s="7">
        <v>4</v>
      </c>
      <c r="M10" s="7"/>
      <c r="N10" s="7"/>
      <c r="O10" s="7">
        <f>SUM(G10:N10)</f>
        <v>19.399999999999999</v>
      </c>
      <c r="P10" s="37">
        <v>4</v>
      </c>
      <c r="Q10" s="8" t="s">
        <v>24</v>
      </c>
      <c r="R10" s="8">
        <v>30.2</v>
      </c>
      <c r="S10" s="8">
        <v>0.4</v>
      </c>
    </row>
    <row r="11" spans="1:19" x14ac:dyDescent="0.25">
      <c r="A11" s="9"/>
      <c r="B11" s="10">
        <v>8</v>
      </c>
      <c r="C11" s="10" t="s">
        <v>70</v>
      </c>
      <c r="D11" s="11" t="s">
        <v>71</v>
      </c>
      <c r="E11" s="10">
        <f>240+58</f>
        <v>298</v>
      </c>
      <c r="F11" s="35">
        <v>11.3</v>
      </c>
      <c r="G11" s="13">
        <v>0.3</v>
      </c>
      <c r="H11" s="13"/>
      <c r="I11" s="13">
        <v>4</v>
      </c>
      <c r="J11" s="13"/>
      <c r="K11" s="13">
        <f>5+1.5</f>
        <v>6.5</v>
      </c>
      <c r="L11" s="13"/>
      <c r="M11" s="13">
        <v>0.8</v>
      </c>
      <c r="N11" s="13"/>
      <c r="O11" s="13">
        <f>SUM(G11:N11)</f>
        <v>11.600000000000001</v>
      </c>
      <c r="P11" s="38">
        <v>4</v>
      </c>
      <c r="Q11" s="14" t="s">
        <v>24</v>
      </c>
      <c r="R11" s="14">
        <v>29.5</v>
      </c>
      <c r="S11" s="14">
        <v>0.4</v>
      </c>
    </row>
    <row r="12" spans="1:19" x14ac:dyDescent="0.25">
      <c r="A12" s="15"/>
      <c r="B12" s="16">
        <v>9</v>
      </c>
      <c r="C12" s="16" t="s">
        <v>72</v>
      </c>
      <c r="D12" s="21" t="s">
        <v>73</v>
      </c>
      <c r="E12" s="16">
        <f>300+2</f>
        <v>302</v>
      </c>
      <c r="F12" s="35">
        <v>10.7</v>
      </c>
      <c r="G12" s="18">
        <v>1.5</v>
      </c>
      <c r="H12" s="18">
        <v>2.5</v>
      </c>
      <c r="I12" s="18"/>
      <c r="J12" s="18"/>
      <c r="K12" s="18">
        <f>4.5+5</f>
        <v>9.5</v>
      </c>
      <c r="L12" s="18"/>
      <c r="M12" s="18"/>
      <c r="N12" s="18"/>
      <c r="O12" s="18">
        <f>SUM(G12:N12)</f>
        <v>13.5</v>
      </c>
      <c r="P12" s="39">
        <v>3</v>
      </c>
      <c r="Q12" s="19" t="s">
        <v>24</v>
      </c>
      <c r="R12" s="19">
        <v>30.2</v>
      </c>
      <c r="S12" s="14">
        <v>0.2</v>
      </c>
    </row>
    <row r="13" spans="1:19" x14ac:dyDescent="0.25">
      <c r="A13" s="20">
        <v>44656</v>
      </c>
      <c r="B13" s="3">
        <v>10</v>
      </c>
      <c r="C13" s="3" t="s">
        <v>74</v>
      </c>
      <c r="D13" s="5" t="s">
        <v>75</v>
      </c>
      <c r="E13" s="4">
        <f>240+35</f>
        <v>275</v>
      </c>
      <c r="F13" s="7">
        <v>10</v>
      </c>
      <c r="G13" s="7">
        <v>0.2</v>
      </c>
      <c r="H13" s="7">
        <v>4.5</v>
      </c>
      <c r="I13" s="7">
        <v>1.5</v>
      </c>
      <c r="J13" s="7"/>
      <c r="K13" s="7"/>
      <c r="L13" s="7">
        <f>5+2.5</f>
        <v>7.5</v>
      </c>
      <c r="M13" s="7"/>
      <c r="N13" s="7"/>
      <c r="O13" s="7">
        <f>SUM(G13:N13)</f>
        <v>13.7</v>
      </c>
      <c r="P13" s="37">
        <v>4</v>
      </c>
      <c r="Q13" s="8" t="s">
        <v>24</v>
      </c>
      <c r="R13" s="8">
        <v>30.5</v>
      </c>
      <c r="S13" s="8">
        <v>0.3</v>
      </c>
    </row>
    <row r="14" spans="1:19" x14ac:dyDescent="0.25">
      <c r="A14" s="9"/>
      <c r="B14" s="10">
        <v>11</v>
      </c>
      <c r="C14" s="10" t="s">
        <v>76</v>
      </c>
      <c r="D14" s="11" t="s">
        <v>77</v>
      </c>
      <c r="E14" s="4">
        <f>240+57</f>
        <v>297</v>
      </c>
      <c r="F14" s="13">
        <v>10.8</v>
      </c>
      <c r="G14" s="13">
        <v>1.1000000000000001</v>
      </c>
      <c r="H14" s="13">
        <v>0.6</v>
      </c>
      <c r="I14" s="13"/>
      <c r="J14" s="13"/>
      <c r="K14" s="13"/>
      <c r="L14" s="13">
        <v>3.5</v>
      </c>
      <c r="M14" s="13"/>
      <c r="N14" s="13">
        <f>5+5+2</f>
        <v>12</v>
      </c>
      <c r="O14" s="13">
        <f>SUM(G14:N14)</f>
        <v>17.2</v>
      </c>
      <c r="P14" s="38">
        <v>4</v>
      </c>
      <c r="Q14" s="14" t="s">
        <v>24</v>
      </c>
      <c r="R14" s="14">
        <v>30.7</v>
      </c>
      <c r="S14" s="14">
        <v>0.3</v>
      </c>
    </row>
    <row r="15" spans="1:19" x14ac:dyDescent="0.25">
      <c r="A15" s="15"/>
      <c r="B15" s="16">
        <v>12</v>
      </c>
      <c r="C15" s="16" t="s">
        <v>78</v>
      </c>
      <c r="D15" s="21" t="s">
        <v>79</v>
      </c>
      <c r="E15" s="4">
        <f>240+8</f>
        <v>248</v>
      </c>
      <c r="F15" s="18">
        <v>11</v>
      </c>
      <c r="G15" s="18">
        <v>1</v>
      </c>
      <c r="H15" s="18">
        <v>1.4</v>
      </c>
      <c r="I15" s="18"/>
      <c r="J15" s="18"/>
      <c r="K15" s="18"/>
      <c r="L15" s="18">
        <f>5+0.5</f>
        <v>5.5</v>
      </c>
      <c r="M15" s="18">
        <v>5</v>
      </c>
      <c r="N15" s="18"/>
      <c r="O15" s="18">
        <f>SUM(G15:N15)</f>
        <v>12.9</v>
      </c>
      <c r="P15" s="39">
        <v>4</v>
      </c>
      <c r="Q15" s="19" t="s">
        <v>24</v>
      </c>
      <c r="R15" s="19">
        <v>30.5</v>
      </c>
      <c r="S15" s="14">
        <v>0.1</v>
      </c>
    </row>
    <row r="16" spans="1:19" x14ac:dyDescent="0.25">
      <c r="A16" s="20">
        <v>44657</v>
      </c>
      <c r="B16" s="3">
        <v>13</v>
      </c>
      <c r="C16" s="3" t="s">
        <v>80</v>
      </c>
      <c r="D16" s="5" t="s">
        <v>81</v>
      </c>
      <c r="E16" s="3">
        <f>300+1</f>
        <v>301</v>
      </c>
      <c r="F16" s="35">
        <v>10.4</v>
      </c>
      <c r="G16" s="13"/>
      <c r="H16" s="13">
        <v>3.5</v>
      </c>
      <c r="I16" s="13"/>
      <c r="J16" s="13"/>
      <c r="K16" s="13"/>
      <c r="L16" s="13">
        <v>0.5</v>
      </c>
      <c r="M16" s="13"/>
      <c r="N16" s="13"/>
      <c r="O16" s="7">
        <f>SUM(G16:N16)</f>
        <v>4</v>
      </c>
      <c r="P16" s="37">
        <v>2</v>
      </c>
      <c r="Q16" s="8" t="s">
        <v>24</v>
      </c>
      <c r="R16" s="8">
        <v>31.2</v>
      </c>
      <c r="S16" s="8">
        <v>0.3</v>
      </c>
    </row>
    <row r="17" spans="1:19" x14ac:dyDescent="0.25">
      <c r="A17" s="14"/>
      <c r="B17" s="10">
        <v>14</v>
      </c>
      <c r="C17" s="10" t="s">
        <v>82</v>
      </c>
      <c r="D17" s="11" t="s">
        <v>83</v>
      </c>
      <c r="E17" s="10">
        <f>240+22</f>
        <v>262</v>
      </c>
      <c r="F17" s="35">
        <v>10.8</v>
      </c>
      <c r="G17" s="13"/>
      <c r="H17" s="13"/>
      <c r="I17" s="13">
        <v>0.4</v>
      </c>
      <c r="J17" s="13"/>
      <c r="K17" s="13">
        <f>5+3.5</f>
        <v>8.5</v>
      </c>
      <c r="L17" s="13"/>
      <c r="M17" s="13"/>
      <c r="N17" s="13"/>
      <c r="O17" s="13">
        <f>SUM(G17:N17)</f>
        <v>8.9</v>
      </c>
      <c r="P17" s="38">
        <v>2</v>
      </c>
      <c r="Q17" s="14" t="s">
        <v>24</v>
      </c>
      <c r="R17" s="14">
        <v>30</v>
      </c>
      <c r="S17" s="14">
        <v>0.2</v>
      </c>
    </row>
    <row r="18" spans="1:19" x14ac:dyDescent="0.25">
      <c r="A18" s="19"/>
      <c r="B18" s="16">
        <v>15</v>
      </c>
      <c r="C18" s="16" t="s">
        <v>84</v>
      </c>
      <c r="D18" s="21" t="s">
        <v>61</v>
      </c>
      <c r="E18" s="16">
        <f>240+1</f>
        <v>241</v>
      </c>
      <c r="F18" s="35">
        <v>11.4</v>
      </c>
      <c r="G18" s="18">
        <v>2</v>
      </c>
      <c r="H18" s="18">
        <v>1</v>
      </c>
      <c r="I18" s="18"/>
      <c r="J18" s="18"/>
      <c r="K18" s="18"/>
      <c r="L18" s="18">
        <v>1</v>
      </c>
      <c r="M18" s="18">
        <v>5</v>
      </c>
      <c r="N18" s="18"/>
      <c r="O18" s="18">
        <f>SUM(G18:N18)</f>
        <v>9</v>
      </c>
      <c r="P18" s="39">
        <v>4</v>
      </c>
      <c r="Q18" s="19" t="s">
        <v>24</v>
      </c>
      <c r="R18" s="19">
        <v>30</v>
      </c>
      <c r="S18" s="19">
        <v>0.1</v>
      </c>
    </row>
    <row r="19" spans="1:19" x14ac:dyDescent="0.25">
      <c r="A19" s="71" t="s">
        <v>55</v>
      </c>
      <c r="B19" s="72"/>
      <c r="C19" s="74"/>
      <c r="D19" s="74"/>
      <c r="E19" s="74"/>
      <c r="F19" s="75"/>
      <c r="G19" s="76">
        <f t="shared" ref="G19:N19" si="0">SUM(G4:G18)</f>
        <v>12.299999999999999</v>
      </c>
      <c r="H19" s="76">
        <f t="shared" si="0"/>
        <v>37</v>
      </c>
      <c r="I19" s="76">
        <f t="shared" si="0"/>
        <v>5.9</v>
      </c>
      <c r="J19" s="76">
        <f t="shared" si="0"/>
        <v>0.7</v>
      </c>
      <c r="K19" s="76">
        <f t="shared" si="0"/>
        <v>35.6</v>
      </c>
      <c r="L19" s="76">
        <f t="shared" si="0"/>
        <v>28.5</v>
      </c>
      <c r="M19" s="76">
        <f t="shared" si="0"/>
        <v>10.8</v>
      </c>
      <c r="N19" s="76">
        <f t="shared" si="0"/>
        <v>12</v>
      </c>
      <c r="O19" s="76">
        <f>SUM(O4:O18)</f>
        <v>142.80000000000001</v>
      </c>
      <c r="P19" s="22"/>
    </row>
    <row r="20" spans="1:19" x14ac:dyDescent="0.25">
      <c r="C20" s="62"/>
      <c r="D20" s="83" t="s">
        <v>159</v>
      </c>
      <c r="E20" s="79">
        <f>AVERAGE(E4:E18)</f>
        <v>278.53333333333336</v>
      </c>
      <c r="F20" s="79">
        <f>AVERAGE(F4:F18)</f>
        <v>10.466666666666667</v>
      </c>
      <c r="G20" s="79">
        <f>AVERAGE(G4:G18)</f>
        <v>1.0249999999999999</v>
      </c>
      <c r="H20" s="79">
        <f t="shared" ref="H20:N20" si="1">AVERAGE(H4:H18)</f>
        <v>2.8461538461538463</v>
      </c>
      <c r="I20" s="79">
        <f t="shared" si="1"/>
        <v>1.9666666666666668</v>
      </c>
      <c r="J20" s="79">
        <f t="shared" si="1"/>
        <v>0.7</v>
      </c>
      <c r="K20" s="79">
        <f t="shared" si="1"/>
        <v>7.12</v>
      </c>
      <c r="L20" s="79">
        <f t="shared" si="1"/>
        <v>3.1666666666666665</v>
      </c>
      <c r="M20" s="79">
        <f t="shared" si="1"/>
        <v>3.6</v>
      </c>
      <c r="N20" s="79">
        <f t="shared" si="1"/>
        <v>12</v>
      </c>
      <c r="O20" s="79">
        <f t="shared" ref="O20" si="2">AVERAGE(O4:O18)</f>
        <v>9.5200000000000014</v>
      </c>
      <c r="P20" s="79">
        <f t="shared" ref="P20" si="3">AVERAGE(P4:P18)</f>
        <v>3.1333333333333333</v>
      </c>
    </row>
    <row r="21" spans="1:19" x14ac:dyDescent="0.25">
      <c r="C21" s="62"/>
      <c r="D21" s="83" t="s">
        <v>160</v>
      </c>
      <c r="E21" s="80">
        <f>_xlfn.STDEV.S(E4:E18)</f>
        <v>28.490265672598387</v>
      </c>
      <c r="F21" s="80">
        <f>_xlfn.STDEV.S(F4:F18)</f>
        <v>0.92556289179432116</v>
      </c>
      <c r="G21" s="80">
        <f>_xlfn.STDEV.S(G4:G18)</f>
        <v>0.56104610084442053</v>
      </c>
      <c r="H21" s="80">
        <f t="shared" ref="H21:M21" si="4">_xlfn.STDEV.S(H4:H18)</f>
        <v>2.7394085081197685</v>
      </c>
      <c r="I21" s="80">
        <f t="shared" si="4"/>
        <v>1.8448125469362282</v>
      </c>
      <c r="J21" s="80"/>
      <c r="K21" s="80">
        <f t="shared" si="4"/>
        <v>3.933446326060646</v>
      </c>
      <c r="L21" s="80">
        <f t="shared" si="4"/>
        <v>2.2704625079485461</v>
      </c>
      <c r="M21" s="80">
        <f t="shared" si="4"/>
        <v>2.4248711305964279</v>
      </c>
      <c r="N21" s="80"/>
      <c r="O21" s="80">
        <f t="shared" ref="O21" si="5">_xlfn.STDEV.S(O4:O18)</f>
        <v>5.3187270227806502</v>
      </c>
      <c r="P21" s="80">
        <f t="shared" ref="P21" si="6">_xlfn.STDEV.S(P4:P18)</f>
        <v>0.91547541643412633</v>
      </c>
    </row>
    <row r="23" spans="1:19" x14ac:dyDescent="0.25">
      <c r="E23">
        <v>36</v>
      </c>
    </row>
  </sheetData>
  <mergeCells count="13">
    <mergeCell ref="G2:N2"/>
    <mergeCell ref="F2:F3"/>
    <mergeCell ref="A19:F19"/>
    <mergeCell ref="A2:A3"/>
    <mergeCell ref="B2:B3"/>
    <mergeCell ref="C2:C3"/>
    <mergeCell ref="D2:D3"/>
    <mergeCell ref="E2:E3"/>
    <mergeCell ref="R2:R3"/>
    <mergeCell ref="S2:S3"/>
    <mergeCell ref="Q2:Q3"/>
    <mergeCell ref="O2:O3"/>
    <mergeCell ref="P2:P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F007D-A317-4158-9DFD-FD1DA14328AC}">
  <dimension ref="A2:X23"/>
  <sheetViews>
    <sheetView topLeftCell="A5" workbookViewId="0">
      <selection activeCell="D20" sqref="D20:D21"/>
    </sheetView>
  </sheetViews>
  <sheetFormatPr defaultRowHeight="15" x14ac:dyDescent="0.25"/>
  <cols>
    <col min="1" max="1" width="13.28515625" style="41" customWidth="1"/>
    <col min="2" max="2" width="7.7109375" style="41" customWidth="1"/>
    <col min="3" max="3" width="7.85546875" style="41" customWidth="1"/>
    <col min="4" max="4" width="15.85546875" style="41" bestFit="1" customWidth="1"/>
    <col min="5" max="5" width="9.140625" style="41"/>
    <col min="6" max="6" width="10.85546875" style="41" customWidth="1"/>
    <col min="7" max="8" width="11.28515625" style="41" customWidth="1"/>
    <col min="9" max="9" width="13.42578125" style="41" customWidth="1"/>
    <col min="10" max="12" width="11.28515625" style="41" customWidth="1"/>
    <col min="13" max="13" width="12.42578125" style="41" customWidth="1"/>
    <col min="14" max="15" width="11.28515625" style="41" customWidth="1"/>
    <col min="16" max="17" width="11.28515625" style="41" hidden="1" customWidth="1"/>
    <col min="18" max="18" width="13.28515625" style="41" hidden="1" customWidth="1"/>
    <col min="19" max="19" width="11.28515625" style="41" hidden="1" customWidth="1"/>
    <col min="20" max="20" width="8.5703125" style="41" customWidth="1"/>
    <col min="21" max="21" width="8.140625" style="41" customWidth="1"/>
    <col min="22" max="22" width="6.7109375" style="41" customWidth="1"/>
    <col min="23" max="23" width="5.5703125" style="41" customWidth="1"/>
    <col min="24" max="24" width="8.5703125" style="41" customWidth="1"/>
    <col min="25" max="16384" width="9.140625" style="41"/>
  </cols>
  <sheetData>
    <row r="2" spans="1:24" x14ac:dyDescent="0.25">
      <c r="A2" s="65" t="s">
        <v>0</v>
      </c>
      <c r="B2" s="65" t="s">
        <v>1</v>
      </c>
      <c r="C2" s="65" t="s">
        <v>2</v>
      </c>
      <c r="D2" s="65" t="s">
        <v>138</v>
      </c>
      <c r="E2" s="65" t="s">
        <v>4</v>
      </c>
      <c r="F2" s="65" t="s">
        <v>139</v>
      </c>
      <c r="G2" s="73" t="s">
        <v>5</v>
      </c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65" t="s">
        <v>6</v>
      </c>
      <c r="U2" s="65" t="s">
        <v>140</v>
      </c>
      <c r="V2" s="67" t="s">
        <v>7</v>
      </c>
      <c r="W2" s="67" t="s">
        <v>141</v>
      </c>
      <c r="X2" s="65" t="s">
        <v>142</v>
      </c>
    </row>
    <row r="3" spans="1:24" ht="45" x14ac:dyDescent="0.25">
      <c r="A3" s="66"/>
      <c r="B3" s="66"/>
      <c r="C3" s="66"/>
      <c r="D3" s="66"/>
      <c r="E3" s="66"/>
      <c r="F3" s="66"/>
      <c r="G3" s="40" t="s">
        <v>8</v>
      </c>
      <c r="H3" s="40" t="s">
        <v>9</v>
      </c>
      <c r="I3" s="40" t="s">
        <v>10</v>
      </c>
      <c r="J3" s="40" t="s">
        <v>11</v>
      </c>
      <c r="K3" s="40" t="s">
        <v>12</v>
      </c>
      <c r="L3" s="40" t="s">
        <v>13</v>
      </c>
      <c r="M3" s="40" t="s">
        <v>14</v>
      </c>
      <c r="N3" s="40" t="s">
        <v>15</v>
      </c>
      <c r="O3" s="40" t="s">
        <v>16</v>
      </c>
      <c r="P3" s="40" t="s">
        <v>17</v>
      </c>
      <c r="Q3" s="40" t="s">
        <v>18</v>
      </c>
      <c r="R3" s="40" t="s">
        <v>19</v>
      </c>
      <c r="S3" s="40" t="s">
        <v>20</v>
      </c>
      <c r="T3" s="66"/>
      <c r="U3" s="66"/>
      <c r="V3" s="64"/>
      <c r="W3" s="64"/>
      <c r="X3" s="66"/>
    </row>
    <row r="4" spans="1:24" x14ac:dyDescent="0.25">
      <c r="A4" s="42" t="s">
        <v>85</v>
      </c>
      <c r="B4" s="43">
        <v>1</v>
      </c>
      <c r="C4" s="43" t="s">
        <v>86</v>
      </c>
      <c r="D4" s="44" t="s">
        <v>87</v>
      </c>
      <c r="E4" s="43">
        <f>180+12</f>
        <v>192</v>
      </c>
      <c r="F4" s="45">
        <v>16</v>
      </c>
      <c r="G4" s="46">
        <v>1.5</v>
      </c>
      <c r="H4" s="46">
        <v>3.5</v>
      </c>
      <c r="I4" s="46">
        <v>0.05</v>
      </c>
      <c r="J4" s="46"/>
      <c r="K4" s="46"/>
      <c r="L4" s="46"/>
      <c r="M4" s="46"/>
      <c r="N4" s="46"/>
      <c r="O4" s="46">
        <v>0.1</v>
      </c>
      <c r="P4" s="47"/>
      <c r="Q4" s="47"/>
      <c r="R4" s="47"/>
      <c r="S4" s="47"/>
      <c r="T4" s="46">
        <f>SUM(G4:S4)</f>
        <v>5.1499999999999995</v>
      </c>
      <c r="U4" s="48">
        <v>4</v>
      </c>
      <c r="V4" s="42" t="s">
        <v>24</v>
      </c>
      <c r="W4" s="42">
        <v>29.8</v>
      </c>
      <c r="X4" s="42">
        <v>0.3</v>
      </c>
    </row>
    <row r="5" spans="1:24" x14ac:dyDescent="0.25">
      <c r="A5" s="49"/>
      <c r="B5" s="50">
        <v>2</v>
      </c>
      <c r="C5" s="50" t="s">
        <v>88</v>
      </c>
      <c r="D5" s="51" t="s">
        <v>89</v>
      </c>
      <c r="E5" s="50">
        <f>120+56</f>
        <v>176</v>
      </c>
      <c r="F5" s="45">
        <v>14.5</v>
      </c>
      <c r="G5" s="52">
        <v>4.9000000000000004</v>
      </c>
      <c r="H5" s="52">
        <v>5.3</v>
      </c>
      <c r="I5" s="52">
        <v>0.2</v>
      </c>
      <c r="J5" s="52">
        <v>0.25</v>
      </c>
      <c r="K5" s="52"/>
      <c r="L5" s="52"/>
      <c r="M5" s="52"/>
      <c r="N5" s="52">
        <v>0.05</v>
      </c>
      <c r="O5" s="52"/>
      <c r="P5" s="53"/>
      <c r="Q5" s="53"/>
      <c r="R5" s="53"/>
      <c r="S5" s="53"/>
      <c r="T5" s="52">
        <f t="shared" ref="T5:T18" si="0">SUM(G5:S5)</f>
        <v>10.7</v>
      </c>
      <c r="U5" s="54">
        <v>5</v>
      </c>
      <c r="V5" s="49" t="s">
        <v>24</v>
      </c>
      <c r="W5" s="49">
        <v>30</v>
      </c>
      <c r="X5" s="49">
        <v>0.3</v>
      </c>
    </row>
    <row r="6" spans="1:24" x14ac:dyDescent="0.25">
      <c r="A6" s="55"/>
      <c r="B6" s="56">
        <v>3</v>
      </c>
      <c r="C6" s="56" t="s">
        <v>90</v>
      </c>
      <c r="D6" s="51" t="s">
        <v>91</v>
      </c>
      <c r="E6" s="56">
        <f>120+52</f>
        <v>172</v>
      </c>
      <c r="F6" s="45">
        <v>14.3</v>
      </c>
      <c r="G6" s="57">
        <v>0.5</v>
      </c>
      <c r="H6" s="57">
        <v>3.2</v>
      </c>
      <c r="I6" s="57">
        <v>0.4</v>
      </c>
      <c r="J6" s="57">
        <v>0.3</v>
      </c>
      <c r="K6" s="57"/>
      <c r="L6" s="57">
        <v>0.8</v>
      </c>
      <c r="M6" s="57"/>
      <c r="N6" s="57"/>
      <c r="O6" s="57"/>
      <c r="P6" s="58"/>
      <c r="Q6" s="58"/>
      <c r="R6" s="58"/>
      <c r="S6" s="58"/>
      <c r="T6" s="57">
        <f t="shared" si="0"/>
        <v>5.2</v>
      </c>
      <c r="U6" s="59">
        <v>5</v>
      </c>
      <c r="V6" s="55" t="s">
        <v>24</v>
      </c>
      <c r="W6" s="55">
        <v>29.1</v>
      </c>
      <c r="X6" s="49">
        <v>0.2</v>
      </c>
    </row>
    <row r="7" spans="1:24" x14ac:dyDescent="0.25">
      <c r="A7" s="42" t="s">
        <v>92</v>
      </c>
      <c r="B7" s="43">
        <v>4</v>
      </c>
      <c r="C7" s="43" t="s">
        <v>93</v>
      </c>
      <c r="D7" s="44" t="s">
        <v>94</v>
      </c>
      <c r="E7" s="43">
        <f>180+15</f>
        <v>195</v>
      </c>
      <c r="F7" s="46">
        <v>15.7</v>
      </c>
      <c r="G7" s="52">
        <v>0.4</v>
      </c>
      <c r="H7" s="52">
        <v>0.6</v>
      </c>
      <c r="I7" s="52">
        <v>0.4</v>
      </c>
      <c r="J7" s="52"/>
      <c r="K7" s="52"/>
      <c r="L7" s="52">
        <v>1.1000000000000001</v>
      </c>
      <c r="M7" s="52"/>
      <c r="N7" s="52">
        <v>0.2</v>
      </c>
      <c r="O7" s="52"/>
      <c r="P7" s="47"/>
      <c r="Q7" s="47"/>
      <c r="R7" s="47"/>
      <c r="S7" s="47"/>
      <c r="T7" s="46">
        <f t="shared" si="0"/>
        <v>2.7</v>
      </c>
      <c r="U7" s="48">
        <v>5</v>
      </c>
      <c r="V7" s="42" t="s">
        <v>24</v>
      </c>
      <c r="W7" s="42">
        <v>30.7</v>
      </c>
      <c r="X7" s="42">
        <v>0.4</v>
      </c>
    </row>
    <row r="8" spans="1:24" x14ac:dyDescent="0.25">
      <c r="A8" s="49"/>
      <c r="B8" s="50">
        <v>5</v>
      </c>
      <c r="C8" s="50" t="s">
        <v>95</v>
      </c>
      <c r="D8" s="51" t="s">
        <v>89</v>
      </c>
      <c r="E8" s="50">
        <f>120+56</f>
        <v>176</v>
      </c>
      <c r="F8" s="52">
        <v>14.6</v>
      </c>
      <c r="G8" s="52">
        <v>0.5</v>
      </c>
      <c r="H8" s="52">
        <v>3</v>
      </c>
      <c r="I8" s="52">
        <v>0.7</v>
      </c>
      <c r="J8" s="52">
        <v>0.4</v>
      </c>
      <c r="K8" s="52"/>
      <c r="L8" s="52">
        <v>2</v>
      </c>
      <c r="M8" s="52">
        <v>0.1</v>
      </c>
      <c r="N8" s="52">
        <v>0.8</v>
      </c>
      <c r="O8" s="52"/>
      <c r="P8" s="53"/>
      <c r="Q8" s="53"/>
      <c r="R8" s="53"/>
      <c r="S8" s="53"/>
      <c r="T8" s="52">
        <f t="shared" si="0"/>
        <v>7.5</v>
      </c>
      <c r="U8" s="54">
        <v>7</v>
      </c>
      <c r="V8" s="49" t="s">
        <v>24</v>
      </c>
      <c r="W8" s="49">
        <v>29.8</v>
      </c>
      <c r="X8" s="49">
        <v>0.3</v>
      </c>
    </row>
    <row r="9" spans="1:24" x14ac:dyDescent="0.25">
      <c r="A9" s="55"/>
      <c r="B9" s="56">
        <v>6</v>
      </c>
      <c r="C9" s="56" t="s">
        <v>96</v>
      </c>
      <c r="D9" s="51" t="s">
        <v>97</v>
      </c>
      <c r="E9" s="56">
        <f>120+53</f>
        <v>173</v>
      </c>
      <c r="F9" s="57">
        <v>14.3</v>
      </c>
      <c r="G9" s="52">
        <v>1.2</v>
      </c>
      <c r="H9" s="52">
        <v>2</v>
      </c>
      <c r="I9" s="52"/>
      <c r="J9" s="52"/>
      <c r="K9" s="52"/>
      <c r="L9" s="52">
        <v>5.2</v>
      </c>
      <c r="M9" s="52"/>
      <c r="N9" s="52">
        <v>2.5</v>
      </c>
      <c r="O9" s="52"/>
      <c r="P9" s="58"/>
      <c r="Q9" s="58"/>
      <c r="R9" s="58"/>
      <c r="S9" s="58"/>
      <c r="T9" s="57">
        <f t="shared" si="0"/>
        <v>10.9</v>
      </c>
      <c r="U9" s="59">
        <v>4</v>
      </c>
      <c r="V9" s="55" t="s">
        <v>24</v>
      </c>
      <c r="W9" s="55">
        <v>30.1</v>
      </c>
      <c r="X9" s="49">
        <v>0.2</v>
      </c>
    </row>
    <row r="10" spans="1:24" x14ac:dyDescent="0.25">
      <c r="A10" s="42" t="s">
        <v>98</v>
      </c>
      <c r="B10" s="43">
        <v>7</v>
      </c>
      <c r="C10" s="43" t="s">
        <v>99</v>
      </c>
      <c r="D10" s="44" t="s">
        <v>100</v>
      </c>
      <c r="E10" s="43">
        <f>120+36</f>
        <v>156</v>
      </c>
      <c r="F10" s="45">
        <v>14.1</v>
      </c>
      <c r="G10" s="46">
        <v>0.3</v>
      </c>
      <c r="H10" s="46">
        <v>8.6</v>
      </c>
      <c r="I10" s="46"/>
      <c r="J10" s="46"/>
      <c r="K10" s="46"/>
      <c r="L10" s="46">
        <v>8.5</v>
      </c>
      <c r="M10" s="46">
        <v>0.85</v>
      </c>
      <c r="N10" s="46"/>
      <c r="O10" s="46"/>
      <c r="P10" s="47"/>
      <c r="Q10" s="47"/>
      <c r="R10" s="47"/>
      <c r="S10" s="47"/>
      <c r="T10" s="46">
        <f t="shared" si="0"/>
        <v>18.25</v>
      </c>
      <c r="U10" s="48">
        <v>4</v>
      </c>
      <c r="V10" s="42" t="s">
        <v>24</v>
      </c>
      <c r="W10" s="42">
        <v>29.7</v>
      </c>
      <c r="X10" s="42">
        <v>0.3</v>
      </c>
    </row>
    <row r="11" spans="1:24" x14ac:dyDescent="0.25">
      <c r="A11" s="49"/>
      <c r="B11" s="50">
        <v>8</v>
      </c>
      <c r="C11" s="50" t="s">
        <v>101</v>
      </c>
      <c r="D11" s="51" t="s">
        <v>102</v>
      </c>
      <c r="E11" s="50">
        <f>120+30</f>
        <v>150</v>
      </c>
      <c r="F11" s="45">
        <v>13.2</v>
      </c>
      <c r="G11" s="52">
        <v>1.5</v>
      </c>
      <c r="H11" s="52">
        <v>5.4</v>
      </c>
      <c r="I11" s="52"/>
      <c r="J11" s="52"/>
      <c r="K11" s="52"/>
      <c r="L11" s="52">
        <v>3.6</v>
      </c>
      <c r="M11" s="52"/>
      <c r="N11" s="52"/>
      <c r="O11" s="52"/>
      <c r="P11" s="53"/>
      <c r="Q11" s="53"/>
      <c r="R11" s="53"/>
      <c r="S11" s="53"/>
      <c r="T11" s="52">
        <f t="shared" si="0"/>
        <v>10.5</v>
      </c>
      <c r="U11" s="54">
        <v>3</v>
      </c>
      <c r="V11" s="49" t="s">
        <v>24</v>
      </c>
      <c r="W11" s="49">
        <v>30.3</v>
      </c>
      <c r="X11" s="49">
        <v>0.3</v>
      </c>
    </row>
    <row r="12" spans="1:24" x14ac:dyDescent="0.25">
      <c r="A12" s="55"/>
      <c r="B12" s="56">
        <v>9</v>
      </c>
      <c r="C12" s="56" t="s">
        <v>103</v>
      </c>
      <c r="D12" s="51" t="s">
        <v>104</v>
      </c>
      <c r="E12" s="56">
        <f>120+40</f>
        <v>160</v>
      </c>
      <c r="F12" s="45">
        <v>12.3</v>
      </c>
      <c r="G12" s="57">
        <f>2+0.4</f>
        <v>2.4</v>
      </c>
      <c r="H12" s="57">
        <v>0.2</v>
      </c>
      <c r="I12" s="57"/>
      <c r="J12" s="57"/>
      <c r="K12" s="57">
        <v>8</v>
      </c>
      <c r="L12" s="57">
        <v>0.4</v>
      </c>
      <c r="M12" s="57"/>
      <c r="N12" s="57"/>
      <c r="O12" s="57">
        <v>0.1</v>
      </c>
      <c r="P12" s="58"/>
      <c r="Q12" s="58"/>
      <c r="R12" s="58"/>
      <c r="S12" s="58"/>
      <c r="T12" s="57">
        <f t="shared" si="0"/>
        <v>11.1</v>
      </c>
      <c r="U12" s="59">
        <v>5</v>
      </c>
      <c r="V12" s="55" t="s">
        <v>24</v>
      </c>
      <c r="W12" s="55">
        <v>29.7</v>
      </c>
      <c r="X12" s="49">
        <v>0.1</v>
      </c>
    </row>
    <row r="13" spans="1:24" x14ac:dyDescent="0.25">
      <c r="A13" s="42" t="s">
        <v>105</v>
      </c>
      <c r="B13" s="43">
        <v>10</v>
      </c>
      <c r="C13" s="43" t="s">
        <v>106</v>
      </c>
      <c r="D13" s="44" t="s">
        <v>107</v>
      </c>
      <c r="E13" s="43">
        <f>120+41</f>
        <v>161</v>
      </c>
      <c r="F13" s="46">
        <v>14.2</v>
      </c>
      <c r="G13" s="46">
        <v>0.9</v>
      </c>
      <c r="H13" s="46">
        <v>7.2</v>
      </c>
      <c r="I13" s="46"/>
      <c r="J13" s="46"/>
      <c r="K13" s="46"/>
      <c r="L13" s="46">
        <v>4.5</v>
      </c>
      <c r="M13" s="46"/>
      <c r="N13" s="46"/>
      <c r="O13" s="46"/>
      <c r="P13" s="47"/>
      <c r="Q13" s="47"/>
      <c r="R13" s="47"/>
      <c r="S13" s="47"/>
      <c r="T13" s="46">
        <f t="shared" si="0"/>
        <v>12.6</v>
      </c>
      <c r="U13" s="48">
        <v>3</v>
      </c>
      <c r="V13" s="42" t="s">
        <v>24</v>
      </c>
      <c r="W13" s="42">
        <v>30.7</v>
      </c>
      <c r="X13" s="42">
        <v>0.2</v>
      </c>
    </row>
    <row r="14" spans="1:24" x14ac:dyDescent="0.25">
      <c r="A14" s="49"/>
      <c r="B14" s="50">
        <v>11</v>
      </c>
      <c r="C14" s="50" t="s">
        <v>108</v>
      </c>
      <c r="D14" s="51" t="s">
        <v>109</v>
      </c>
      <c r="E14" s="50">
        <f>120+37</f>
        <v>157</v>
      </c>
      <c r="F14" s="52">
        <v>13.7</v>
      </c>
      <c r="G14" s="52">
        <v>1.5</v>
      </c>
      <c r="H14" s="52">
        <v>3.8</v>
      </c>
      <c r="I14" s="52"/>
      <c r="J14" s="52"/>
      <c r="K14" s="52"/>
      <c r="L14" s="52">
        <v>4.0999999999999996</v>
      </c>
      <c r="M14" s="52"/>
      <c r="N14" s="52"/>
      <c r="O14" s="52"/>
      <c r="P14" s="53"/>
      <c r="Q14" s="53"/>
      <c r="R14" s="53"/>
      <c r="S14" s="53"/>
      <c r="T14" s="52">
        <f t="shared" si="0"/>
        <v>9.3999999999999986</v>
      </c>
      <c r="U14" s="54">
        <v>3</v>
      </c>
      <c r="V14" s="49" t="s">
        <v>24</v>
      </c>
      <c r="W14" s="49">
        <v>30.4</v>
      </c>
      <c r="X14" s="49">
        <v>0.2</v>
      </c>
    </row>
    <row r="15" spans="1:24" x14ac:dyDescent="0.25">
      <c r="A15" s="55"/>
      <c r="B15" s="56">
        <v>12</v>
      </c>
      <c r="C15" s="56" t="s">
        <v>110</v>
      </c>
      <c r="D15" s="51" t="s">
        <v>39</v>
      </c>
      <c r="E15" s="56">
        <f>120+18</f>
        <v>138</v>
      </c>
      <c r="F15" s="57">
        <v>12.7</v>
      </c>
      <c r="G15" s="57">
        <v>1.2</v>
      </c>
      <c r="H15" s="57">
        <v>5.7</v>
      </c>
      <c r="I15" s="57"/>
      <c r="J15" s="57"/>
      <c r="K15" s="57"/>
      <c r="L15" s="57">
        <v>3.4</v>
      </c>
      <c r="M15" s="57">
        <v>0.8</v>
      </c>
      <c r="N15" s="57">
        <v>0.4</v>
      </c>
      <c r="O15" s="57">
        <v>0.3</v>
      </c>
      <c r="P15" s="58"/>
      <c r="Q15" s="58"/>
      <c r="R15" s="58"/>
      <c r="S15" s="58"/>
      <c r="T15" s="57">
        <f t="shared" si="0"/>
        <v>11.800000000000002</v>
      </c>
      <c r="U15" s="59">
        <v>6</v>
      </c>
      <c r="V15" s="55" t="s">
        <v>24</v>
      </c>
      <c r="W15" s="55">
        <v>29.7</v>
      </c>
      <c r="X15" s="49">
        <v>0.2</v>
      </c>
    </row>
    <row r="16" spans="1:24" x14ac:dyDescent="0.25">
      <c r="A16" s="42" t="s">
        <v>111</v>
      </c>
      <c r="B16" s="43">
        <v>13</v>
      </c>
      <c r="C16" s="43" t="s">
        <v>112</v>
      </c>
      <c r="D16" s="44" t="s">
        <v>23</v>
      </c>
      <c r="E16" s="43">
        <f>120+20</f>
        <v>140</v>
      </c>
      <c r="F16" s="45">
        <v>14.3</v>
      </c>
      <c r="G16" s="52">
        <v>0.3</v>
      </c>
      <c r="H16" s="52">
        <v>0.5</v>
      </c>
      <c r="I16" s="52"/>
      <c r="J16" s="52"/>
      <c r="K16" s="52"/>
      <c r="L16" s="52">
        <v>1</v>
      </c>
      <c r="M16" s="52"/>
      <c r="N16" s="52">
        <v>0.2</v>
      </c>
      <c r="O16" s="52">
        <v>0.1</v>
      </c>
      <c r="P16" s="53"/>
      <c r="Q16" s="47"/>
      <c r="R16" s="47"/>
      <c r="S16" s="47"/>
      <c r="T16" s="46">
        <f t="shared" si="0"/>
        <v>2.1</v>
      </c>
      <c r="U16" s="48">
        <v>5</v>
      </c>
      <c r="V16" s="42" t="s">
        <v>24</v>
      </c>
      <c r="W16" s="42">
        <v>30.3</v>
      </c>
      <c r="X16" s="42">
        <v>0.3</v>
      </c>
    </row>
    <row r="17" spans="1:24" x14ac:dyDescent="0.25">
      <c r="A17" s="49"/>
      <c r="B17" s="50">
        <v>14</v>
      </c>
      <c r="C17" s="50" t="s">
        <v>113</v>
      </c>
      <c r="D17" s="51" t="s">
        <v>114</v>
      </c>
      <c r="E17" s="50">
        <f>120+16</f>
        <v>136</v>
      </c>
      <c r="F17" s="45">
        <v>13.6</v>
      </c>
      <c r="G17" s="52">
        <v>1.3</v>
      </c>
      <c r="H17" s="52">
        <v>3.3</v>
      </c>
      <c r="I17" s="52"/>
      <c r="J17" s="52"/>
      <c r="K17" s="52"/>
      <c r="L17" s="52">
        <v>4.7</v>
      </c>
      <c r="M17" s="52"/>
      <c r="N17" s="52"/>
      <c r="O17" s="52"/>
      <c r="P17" s="53"/>
      <c r="Q17" s="53"/>
      <c r="R17" s="53"/>
      <c r="S17" s="53"/>
      <c r="T17" s="52">
        <f t="shared" si="0"/>
        <v>9.3000000000000007</v>
      </c>
      <c r="U17" s="54">
        <v>3</v>
      </c>
      <c r="V17" s="49" t="s">
        <v>24</v>
      </c>
      <c r="W17" s="49">
        <v>30</v>
      </c>
      <c r="X17" s="49">
        <v>0.2</v>
      </c>
    </row>
    <row r="18" spans="1:24" x14ac:dyDescent="0.25">
      <c r="A18" s="55"/>
      <c r="B18" s="56">
        <v>15</v>
      </c>
      <c r="C18" s="56" t="s">
        <v>115</v>
      </c>
      <c r="D18" s="60" t="s">
        <v>116</v>
      </c>
      <c r="E18" s="56">
        <f>60+57</f>
        <v>117</v>
      </c>
      <c r="F18" s="45">
        <v>12</v>
      </c>
      <c r="G18" s="57">
        <f>0.5+0.4</f>
        <v>0.9</v>
      </c>
      <c r="H18" s="57">
        <v>0.3</v>
      </c>
      <c r="I18" s="57"/>
      <c r="J18" s="57"/>
      <c r="K18" s="57">
        <v>0.15</v>
      </c>
      <c r="L18" s="57">
        <v>8.5</v>
      </c>
      <c r="M18" s="57">
        <v>0.2</v>
      </c>
      <c r="N18" s="57">
        <v>0.3</v>
      </c>
      <c r="O18" s="57">
        <v>0.6</v>
      </c>
      <c r="P18" s="58"/>
      <c r="Q18" s="58"/>
      <c r="R18" s="58"/>
      <c r="S18" s="58"/>
      <c r="T18" s="57">
        <f t="shared" si="0"/>
        <v>10.95</v>
      </c>
      <c r="U18" s="59">
        <v>7</v>
      </c>
      <c r="V18" s="55" t="s">
        <v>24</v>
      </c>
      <c r="W18" s="55">
        <v>29.5</v>
      </c>
      <c r="X18" s="55">
        <v>0.2</v>
      </c>
    </row>
    <row r="19" spans="1:24" x14ac:dyDescent="0.25">
      <c r="A19" s="71" t="s">
        <v>55</v>
      </c>
      <c r="B19" s="72"/>
      <c r="C19" s="74"/>
      <c r="D19" s="74"/>
      <c r="E19" s="74"/>
      <c r="F19" s="75"/>
      <c r="G19" s="76">
        <f t="shared" ref="G19:O19" si="1">SUM(G4:G18)</f>
        <v>19.3</v>
      </c>
      <c r="H19" s="76">
        <f t="shared" si="1"/>
        <v>52.599999999999994</v>
      </c>
      <c r="I19" s="76">
        <f t="shared" si="1"/>
        <v>1.75</v>
      </c>
      <c r="J19" s="76">
        <f t="shared" si="1"/>
        <v>0.95000000000000007</v>
      </c>
      <c r="K19" s="76">
        <f t="shared" si="1"/>
        <v>8.15</v>
      </c>
      <c r="L19" s="76">
        <f t="shared" si="1"/>
        <v>47.800000000000004</v>
      </c>
      <c r="M19" s="76">
        <f t="shared" si="1"/>
        <v>1.95</v>
      </c>
      <c r="N19" s="76">
        <f t="shared" si="1"/>
        <v>4.4499999999999993</v>
      </c>
      <c r="O19" s="76">
        <f t="shared" si="1"/>
        <v>1.2</v>
      </c>
      <c r="P19" s="77"/>
      <c r="Q19" s="77"/>
      <c r="R19" s="77"/>
      <c r="S19" s="77"/>
      <c r="T19" s="76">
        <f>SUM(T4:T18)</f>
        <v>138.14999999999998</v>
      </c>
      <c r="U19" s="22"/>
    </row>
    <row r="20" spans="1:24" x14ac:dyDescent="0.25">
      <c r="C20" s="78"/>
      <c r="D20" s="83" t="s">
        <v>159</v>
      </c>
      <c r="E20" s="79">
        <f>AVERAGE(E4:E18)</f>
        <v>159.93333333333334</v>
      </c>
      <c r="F20" s="79">
        <f>AVERAGE(F4:F18)</f>
        <v>13.966666666666665</v>
      </c>
      <c r="G20" s="79">
        <f>AVERAGE(G4:G18)</f>
        <v>1.2866666666666666</v>
      </c>
      <c r="H20" s="79">
        <f t="shared" ref="H20:O20" si="2">AVERAGE(H4:H18)</f>
        <v>3.5066666666666664</v>
      </c>
      <c r="I20" s="79">
        <f t="shared" si="2"/>
        <v>0.35</v>
      </c>
      <c r="J20" s="79">
        <f t="shared" si="2"/>
        <v>0.31666666666666671</v>
      </c>
      <c r="K20" s="79">
        <f t="shared" si="2"/>
        <v>4.0750000000000002</v>
      </c>
      <c r="L20" s="79">
        <f t="shared" si="2"/>
        <v>3.6769230769230772</v>
      </c>
      <c r="M20" s="79">
        <f t="shared" si="2"/>
        <v>0.48749999999999999</v>
      </c>
      <c r="N20" s="79">
        <f t="shared" si="2"/>
        <v>0.63571428571428557</v>
      </c>
      <c r="O20" s="79">
        <f t="shared" si="2"/>
        <v>0.24</v>
      </c>
      <c r="P20" s="78"/>
      <c r="Q20" s="78"/>
      <c r="R20" s="78"/>
      <c r="S20" s="78"/>
      <c r="T20" s="79">
        <f t="shared" ref="T20" si="3">AVERAGE(T4:T18)</f>
        <v>9.2099999999999991</v>
      </c>
      <c r="U20" s="79">
        <f t="shared" ref="U20" si="4">AVERAGE(U4:U18)</f>
        <v>4.5999999999999996</v>
      </c>
    </row>
    <row r="21" spans="1:24" x14ac:dyDescent="0.25">
      <c r="C21" s="78"/>
      <c r="D21" s="83" t="s">
        <v>160</v>
      </c>
      <c r="E21" s="80">
        <f>_xlfn.STDEV.S(E4:E18)</f>
        <v>21.562091956111555</v>
      </c>
      <c r="F21" s="80">
        <f>_xlfn.STDEV.S(F4:F18)</f>
        <v>1.110769788844441</v>
      </c>
      <c r="G21" s="80">
        <f>_xlfn.STDEV.S(G4:G18)</f>
        <v>1.1562665700228394</v>
      </c>
      <c r="H21" s="80">
        <f t="shared" ref="H21:O21" si="5">_xlfn.STDEV.S(H4:H18)</f>
        <v>2.5725103544610906</v>
      </c>
      <c r="I21" s="80">
        <f t="shared" si="5"/>
        <v>0.2449489742783178</v>
      </c>
      <c r="J21" s="80">
        <f t="shared" si="5"/>
        <v>7.6376261582597305E-2</v>
      </c>
      <c r="K21" s="81">
        <f t="shared" si="5"/>
        <v>5.5507882323143978</v>
      </c>
      <c r="L21" s="80">
        <f t="shared" si="5"/>
        <v>2.6842608685178884</v>
      </c>
      <c r="M21" s="80">
        <f t="shared" si="5"/>
        <v>0.39237524556645187</v>
      </c>
      <c r="N21" s="80">
        <f t="shared" si="5"/>
        <v>0.85572303040288966</v>
      </c>
      <c r="O21" s="80">
        <f t="shared" si="5"/>
        <v>0.21908902300206645</v>
      </c>
      <c r="P21" s="78"/>
      <c r="Q21" s="78"/>
      <c r="R21" s="78"/>
      <c r="S21" s="78"/>
      <c r="T21" s="80">
        <f t="shared" ref="T21" si="6">_xlfn.STDEV.S(T4:T18)</f>
        <v>4.155254848639597</v>
      </c>
      <c r="U21" s="80">
        <f t="shared" ref="U21" si="7">_xlfn.STDEV.S(U4:U18)</f>
        <v>1.3522468075656271</v>
      </c>
    </row>
    <row r="23" spans="1:24" x14ac:dyDescent="0.25">
      <c r="E23" s="41">
        <v>63</v>
      </c>
    </row>
  </sheetData>
  <mergeCells count="13">
    <mergeCell ref="G2:S2"/>
    <mergeCell ref="F2:F3"/>
    <mergeCell ref="A19:F19"/>
    <mergeCell ref="A2:A3"/>
    <mergeCell ref="B2:B3"/>
    <mergeCell ref="C2:C3"/>
    <mergeCell ref="D2:D3"/>
    <mergeCell ref="E2:E3"/>
    <mergeCell ref="W2:W3"/>
    <mergeCell ref="X2:X3"/>
    <mergeCell ref="V2:V3"/>
    <mergeCell ref="T2:T3"/>
    <mergeCell ref="U2:U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978AE-0A54-46DF-A930-F4622277998F}">
  <dimension ref="A2:X23"/>
  <sheetViews>
    <sheetView topLeftCell="A3" workbookViewId="0">
      <selection activeCell="D20" sqref="D20:D21"/>
    </sheetView>
  </sheetViews>
  <sheetFormatPr defaultRowHeight="15" x14ac:dyDescent="0.25"/>
  <cols>
    <col min="1" max="1" width="15.28515625" customWidth="1"/>
    <col min="2" max="2" width="7.7109375" customWidth="1"/>
    <col min="3" max="3" width="7.85546875" customWidth="1"/>
    <col min="4" max="4" width="15.85546875" bestFit="1" customWidth="1"/>
    <col min="6" max="6" width="10.85546875" customWidth="1"/>
    <col min="7" max="8" width="11.28515625" customWidth="1"/>
    <col min="9" max="9" width="13.42578125" customWidth="1"/>
    <col min="10" max="12" width="11.28515625" customWidth="1"/>
    <col min="13" max="13" width="12.42578125" customWidth="1"/>
    <col min="14" max="17" width="11.28515625" hidden="1" customWidth="1"/>
    <col min="18" max="18" width="13.28515625" hidden="1" customWidth="1"/>
    <col min="19" max="19" width="11.28515625" hidden="1" customWidth="1"/>
    <col min="20" max="21" width="13" customWidth="1"/>
    <col min="24" max="24" width="11" customWidth="1"/>
  </cols>
  <sheetData>
    <row r="2" spans="1:24" ht="15" customHeight="1" x14ac:dyDescent="0.25">
      <c r="A2" s="65" t="s">
        <v>0</v>
      </c>
      <c r="B2" s="65" t="s">
        <v>1</v>
      </c>
      <c r="C2" s="65" t="s">
        <v>2</v>
      </c>
      <c r="D2" s="65" t="s">
        <v>3</v>
      </c>
      <c r="E2" s="65" t="s">
        <v>4</v>
      </c>
      <c r="F2" s="65" t="s">
        <v>139</v>
      </c>
      <c r="G2" s="73" t="s">
        <v>5</v>
      </c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65" t="s">
        <v>6</v>
      </c>
      <c r="U2" s="65" t="s">
        <v>140</v>
      </c>
      <c r="V2" s="67" t="s">
        <v>7</v>
      </c>
      <c r="W2" s="67" t="s">
        <v>141</v>
      </c>
      <c r="X2" s="65" t="s">
        <v>142</v>
      </c>
    </row>
    <row r="3" spans="1:24" ht="45" x14ac:dyDescent="0.25">
      <c r="A3" s="66"/>
      <c r="B3" s="66"/>
      <c r="C3" s="66"/>
      <c r="D3" s="66"/>
      <c r="E3" s="66"/>
      <c r="F3" s="66"/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  <c r="R3" s="1" t="s">
        <v>19</v>
      </c>
      <c r="S3" s="1" t="s">
        <v>20</v>
      </c>
      <c r="T3" s="66"/>
      <c r="U3" s="66"/>
      <c r="V3" s="64"/>
      <c r="W3" s="64"/>
      <c r="X3" s="66"/>
    </row>
    <row r="4" spans="1:24" x14ac:dyDescent="0.25">
      <c r="A4" s="8" t="s">
        <v>85</v>
      </c>
      <c r="B4" s="3">
        <v>1</v>
      </c>
      <c r="C4" s="6" t="s">
        <v>117</v>
      </c>
      <c r="D4" s="5" t="s">
        <v>118</v>
      </c>
      <c r="E4" s="26">
        <f>240+50</f>
        <v>290</v>
      </c>
      <c r="F4" s="35">
        <v>11.7</v>
      </c>
      <c r="G4" s="27">
        <v>1.2</v>
      </c>
      <c r="H4" s="27">
        <v>2.2999999999999998</v>
      </c>
      <c r="I4" s="27">
        <v>2.4</v>
      </c>
      <c r="J4" s="27"/>
      <c r="K4" s="27"/>
      <c r="L4" s="27"/>
      <c r="M4" s="27"/>
      <c r="N4" s="27"/>
      <c r="O4" s="23"/>
      <c r="P4" s="23"/>
      <c r="Q4" s="23"/>
      <c r="R4" s="23"/>
      <c r="S4" s="23"/>
      <c r="T4" s="7">
        <f>SUM(G4:S4)</f>
        <v>5.9</v>
      </c>
      <c r="U4" s="37">
        <v>3</v>
      </c>
      <c r="V4" s="8" t="s">
        <v>24</v>
      </c>
      <c r="W4" s="8">
        <v>29.8</v>
      </c>
      <c r="X4" s="8">
        <v>0.3</v>
      </c>
    </row>
    <row r="5" spans="1:24" x14ac:dyDescent="0.25">
      <c r="A5" s="14"/>
      <c r="B5" s="10">
        <v>2</v>
      </c>
      <c r="C5" s="12" t="s">
        <v>108</v>
      </c>
      <c r="D5" s="11" t="s">
        <v>119</v>
      </c>
      <c r="E5" s="28">
        <f>240+29</f>
        <v>269</v>
      </c>
      <c r="F5" s="35">
        <v>10.9</v>
      </c>
      <c r="G5" s="29">
        <v>1.55</v>
      </c>
      <c r="H5" s="30">
        <v>3.7</v>
      </c>
      <c r="I5" s="30"/>
      <c r="J5" s="30">
        <v>0.9</v>
      </c>
      <c r="K5" s="30"/>
      <c r="L5" s="30"/>
      <c r="M5" s="30"/>
      <c r="N5" s="30"/>
      <c r="O5" s="24"/>
      <c r="P5" s="24"/>
      <c r="Q5" s="24"/>
      <c r="R5" s="24"/>
      <c r="S5" s="24"/>
      <c r="T5" s="13">
        <f t="shared" ref="T5:T18" si="0">SUM(G5:S5)</f>
        <v>6.15</v>
      </c>
      <c r="U5" s="38">
        <v>3</v>
      </c>
      <c r="V5" s="14" t="s">
        <v>24</v>
      </c>
      <c r="W5" s="14">
        <v>30</v>
      </c>
      <c r="X5" s="14">
        <v>0.3</v>
      </c>
    </row>
    <row r="6" spans="1:24" x14ac:dyDescent="0.25">
      <c r="A6" s="19"/>
      <c r="B6" s="16">
        <v>3</v>
      </c>
      <c r="C6" s="17" t="s">
        <v>120</v>
      </c>
      <c r="D6" s="21" t="s">
        <v>119</v>
      </c>
      <c r="E6" s="31">
        <f>240+23</f>
        <v>263</v>
      </c>
      <c r="F6" s="35">
        <v>10.4</v>
      </c>
      <c r="G6" s="32">
        <v>1.8</v>
      </c>
      <c r="H6" s="32">
        <v>4.2</v>
      </c>
      <c r="I6" s="32"/>
      <c r="J6" s="32">
        <v>1.7</v>
      </c>
      <c r="K6" s="32">
        <v>0.3</v>
      </c>
      <c r="L6" s="32"/>
      <c r="M6" s="32"/>
      <c r="N6" s="32"/>
      <c r="O6" s="25"/>
      <c r="P6" s="25"/>
      <c r="Q6" s="25"/>
      <c r="R6" s="25"/>
      <c r="S6" s="25"/>
      <c r="T6" s="18">
        <f t="shared" si="0"/>
        <v>8</v>
      </c>
      <c r="U6" s="39">
        <v>4</v>
      </c>
      <c r="V6" s="19" t="s">
        <v>24</v>
      </c>
      <c r="W6" s="19">
        <v>29.1</v>
      </c>
      <c r="X6" s="14">
        <v>0.2</v>
      </c>
    </row>
    <row r="7" spans="1:24" x14ac:dyDescent="0.25">
      <c r="A7" s="8" t="s">
        <v>92</v>
      </c>
      <c r="B7" s="3">
        <v>4</v>
      </c>
      <c r="C7" s="3" t="s">
        <v>121</v>
      </c>
      <c r="D7" s="5" t="s">
        <v>122</v>
      </c>
      <c r="E7" s="3">
        <f>240+36</f>
        <v>276</v>
      </c>
      <c r="F7" s="7">
        <v>11.9</v>
      </c>
      <c r="G7" s="33">
        <v>1.25</v>
      </c>
      <c r="H7" s="27"/>
      <c r="I7" s="27"/>
      <c r="J7" s="27">
        <v>0.2</v>
      </c>
      <c r="K7" s="27"/>
      <c r="L7" s="27"/>
      <c r="M7" s="27"/>
      <c r="N7" s="27"/>
      <c r="O7" s="23"/>
      <c r="P7" s="23"/>
      <c r="Q7" s="23"/>
      <c r="R7" s="23"/>
      <c r="S7" s="23"/>
      <c r="T7" s="7">
        <f t="shared" si="0"/>
        <v>1.45</v>
      </c>
      <c r="U7" s="37">
        <v>2</v>
      </c>
      <c r="V7" s="8" t="s">
        <v>24</v>
      </c>
      <c r="W7" s="8">
        <v>30.7</v>
      </c>
      <c r="X7" s="8">
        <v>0.4</v>
      </c>
    </row>
    <row r="8" spans="1:24" x14ac:dyDescent="0.25">
      <c r="A8" s="14"/>
      <c r="B8" s="10">
        <v>5</v>
      </c>
      <c r="C8" s="10" t="s">
        <v>123</v>
      </c>
      <c r="D8" s="11" t="s">
        <v>124</v>
      </c>
      <c r="E8" s="10">
        <f>240+12</f>
        <v>252</v>
      </c>
      <c r="F8" s="13">
        <v>10.6</v>
      </c>
      <c r="G8" s="29">
        <v>0.75</v>
      </c>
      <c r="H8" s="30"/>
      <c r="I8" s="30"/>
      <c r="J8" s="30"/>
      <c r="K8" s="30"/>
      <c r="L8" s="30"/>
      <c r="M8" s="30"/>
      <c r="N8" s="30"/>
      <c r="O8" s="24"/>
      <c r="P8" s="24"/>
      <c r="Q8" s="24"/>
      <c r="R8" s="24"/>
      <c r="S8" s="24"/>
      <c r="T8" s="13">
        <f t="shared" si="0"/>
        <v>0.75</v>
      </c>
      <c r="U8" s="38">
        <v>1</v>
      </c>
      <c r="V8" s="14" t="s">
        <v>24</v>
      </c>
      <c r="W8" s="14">
        <v>29.8</v>
      </c>
      <c r="X8" s="14">
        <v>0.3</v>
      </c>
    </row>
    <row r="9" spans="1:24" x14ac:dyDescent="0.25">
      <c r="A9" s="19"/>
      <c r="B9" s="16">
        <v>6</v>
      </c>
      <c r="C9" s="16" t="s">
        <v>96</v>
      </c>
      <c r="D9" s="21" t="s">
        <v>125</v>
      </c>
      <c r="E9" s="16">
        <f>240+9</f>
        <v>249</v>
      </c>
      <c r="F9" s="18">
        <v>10.3</v>
      </c>
      <c r="G9" s="32">
        <v>4.2</v>
      </c>
      <c r="H9" s="32"/>
      <c r="I9" s="32"/>
      <c r="J9" s="32"/>
      <c r="K9" s="32">
        <v>1.3</v>
      </c>
      <c r="L9" s="32">
        <v>1.7</v>
      </c>
      <c r="M9" s="32"/>
      <c r="N9" s="32"/>
      <c r="O9" s="25"/>
      <c r="P9" s="25"/>
      <c r="Q9" s="25"/>
      <c r="R9" s="25"/>
      <c r="S9" s="25"/>
      <c r="T9" s="18">
        <f t="shared" si="0"/>
        <v>7.2</v>
      </c>
      <c r="U9" s="39">
        <v>3</v>
      </c>
      <c r="V9" s="19" t="s">
        <v>24</v>
      </c>
      <c r="W9" s="19">
        <v>30.1</v>
      </c>
      <c r="X9" s="14">
        <v>0.2</v>
      </c>
    </row>
    <row r="10" spans="1:24" x14ac:dyDescent="0.25">
      <c r="A10" s="8" t="s">
        <v>98</v>
      </c>
      <c r="B10" s="3">
        <v>7</v>
      </c>
      <c r="C10" s="3" t="s">
        <v>126</v>
      </c>
      <c r="D10" s="5" t="s">
        <v>127</v>
      </c>
      <c r="E10" s="3">
        <f>240+45</f>
        <v>285</v>
      </c>
      <c r="F10" s="35">
        <v>11.4</v>
      </c>
      <c r="G10" s="27">
        <v>0.6</v>
      </c>
      <c r="H10" s="27"/>
      <c r="I10" s="27"/>
      <c r="J10" s="33">
        <v>0.22</v>
      </c>
      <c r="K10" s="27"/>
      <c r="L10" s="27">
        <v>2.6</v>
      </c>
      <c r="M10" s="27"/>
      <c r="N10" s="27"/>
      <c r="O10" s="23"/>
      <c r="P10" s="23"/>
      <c r="Q10" s="23"/>
      <c r="R10" s="23"/>
      <c r="S10" s="23"/>
      <c r="T10" s="7">
        <f t="shared" si="0"/>
        <v>3.42</v>
      </c>
      <c r="U10" s="37">
        <v>3</v>
      </c>
      <c r="V10" s="8" t="s">
        <v>24</v>
      </c>
      <c r="W10" s="8">
        <v>29.7</v>
      </c>
      <c r="X10" s="8">
        <v>0.3</v>
      </c>
    </row>
    <row r="11" spans="1:24" x14ac:dyDescent="0.25">
      <c r="A11" s="14"/>
      <c r="B11" s="10">
        <v>8</v>
      </c>
      <c r="C11" s="10" t="s">
        <v>128</v>
      </c>
      <c r="D11" s="11" t="s">
        <v>61</v>
      </c>
      <c r="E11" s="10">
        <f>240+1</f>
        <v>241</v>
      </c>
      <c r="F11" s="35">
        <v>9.9</v>
      </c>
      <c r="G11" s="30">
        <v>1.9</v>
      </c>
      <c r="H11" s="30">
        <v>1.1000000000000001</v>
      </c>
      <c r="I11" s="30"/>
      <c r="J11" s="30"/>
      <c r="K11" s="30"/>
      <c r="L11" s="30">
        <v>4.5</v>
      </c>
      <c r="M11" s="30">
        <v>2.9</v>
      </c>
      <c r="N11" s="30"/>
      <c r="O11" s="24"/>
      <c r="P11" s="24"/>
      <c r="Q11" s="24"/>
      <c r="R11" s="24"/>
      <c r="S11" s="24"/>
      <c r="T11" s="13">
        <f t="shared" si="0"/>
        <v>10.4</v>
      </c>
      <c r="U11" s="38">
        <v>4</v>
      </c>
      <c r="V11" s="14" t="s">
        <v>24</v>
      </c>
      <c r="W11" s="14">
        <v>30.3</v>
      </c>
      <c r="X11" s="14">
        <v>0.3</v>
      </c>
    </row>
    <row r="12" spans="1:24" x14ac:dyDescent="0.25">
      <c r="A12" s="19"/>
      <c r="B12" s="16">
        <v>9</v>
      </c>
      <c r="C12" s="16" t="s">
        <v>40</v>
      </c>
      <c r="D12" s="21" t="s">
        <v>129</v>
      </c>
      <c r="E12" s="16">
        <f>240+3</f>
        <v>243</v>
      </c>
      <c r="F12" s="35">
        <v>9.8000000000000007</v>
      </c>
      <c r="G12" s="32">
        <v>1.4</v>
      </c>
      <c r="H12" s="32">
        <v>0.6</v>
      </c>
      <c r="I12" s="32"/>
      <c r="J12" s="32"/>
      <c r="K12" s="32"/>
      <c r="L12" s="32">
        <v>2.7</v>
      </c>
      <c r="M12" s="32">
        <v>2.8</v>
      </c>
      <c r="N12" s="32"/>
      <c r="O12" s="25"/>
      <c r="P12" s="25"/>
      <c r="Q12" s="25"/>
      <c r="R12" s="25"/>
      <c r="S12" s="25"/>
      <c r="T12" s="18">
        <f t="shared" si="0"/>
        <v>7.5</v>
      </c>
      <c r="U12" s="39">
        <v>4</v>
      </c>
      <c r="V12" s="19" t="s">
        <v>24</v>
      </c>
      <c r="W12" s="19">
        <v>29.7</v>
      </c>
      <c r="X12" s="14">
        <v>0.1</v>
      </c>
    </row>
    <row r="13" spans="1:24" x14ac:dyDescent="0.25">
      <c r="A13" s="8" t="s">
        <v>105</v>
      </c>
      <c r="B13" s="3">
        <v>10</v>
      </c>
      <c r="C13" s="3" t="s">
        <v>62</v>
      </c>
      <c r="D13" s="5" t="s">
        <v>130</v>
      </c>
      <c r="E13" s="3">
        <f>240+40</f>
        <v>280</v>
      </c>
      <c r="F13" s="7">
        <v>11.2</v>
      </c>
      <c r="G13" s="27">
        <v>0.7</v>
      </c>
      <c r="H13" s="27">
        <v>1</v>
      </c>
      <c r="I13" s="27"/>
      <c r="J13" s="27"/>
      <c r="K13" s="27"/>
      <c r="L13" s="27">
        <v>2.5</v>
      </c>
      <c r="M13" s="27">
        <v>0.4</v>
      </c>
      <c r="N13" s="27"/>
      <c r="O13" s="23"/>
      <c r="P13" s="23"/>
      <c r="Q13" s="23"/>
      <c r="R13" s="23"/>
      <c r="S13" s="23"/>
      <c r="T13" s="7">
        <f t="shared" si="0"/>
        <v>4.6000000000000005</v>
      </c>
      <c r="U13" s="37">
        <v>4</v>
      </c>
      <c r="V13" s="8" t="s">
        <v>24</v>
      </c>
      <c r="W13" s="8">
        <v>30.7</v>
      </c>
      <c r="X13" s="8">
        <v>0.2</v>
      </c>
    </row>
    <row r="14" spans="1:24" x14ac:dyDescent="0.25">
      <c r="A14" s="14"/>
      <c r="B14" s="10">
        <v>11</v>
      </c>
      <c r="C14" s="10" t="s">
        <v>131</v>
      </c>
      <c r="D14" s="11" t="s">
        <v>59</v>
      </c>
      <c r="E14" s="10">
        <f>240+15</f>
        <v>255</v>
      </c>
      <c r="F14" s="13">
        <v>10.4</v>
      </c>
      <c r="G14" s="30">
        <v>1.1000000000000001</v>
      </c>
      <c r="H14" s="30">
        <v>0.3</v>
      </c>
      <c r="I14" s="30"/>
      <c r="J14" s="30"/>
      <c r="K14" s="30"/>
      <c r="L14" s="30">
        <v>2.1</v>
      </c>
      <c r="M14" s="30">
        <v>0.6</v>
      </c>
      <c r="N14" s="30"/>
      <c r="O14" s="24"/>
      <c r="P14" s="24"/>
      <c r="Q14" s="24"/>
      <c r="R14" s="24"/>
      <c r="S14" s="24"/>
      <c r="T14" s="13">
        <f t="shared" si="0"/>
        <v>4.0999999999999996</v>
      </c>
      <c r="U14" s="38">
        <v>4</v>
      </c>
      <c r="V14" s="14" t="s">
        <v>24</v>
      </c>
      <c r="W14" s="14">
        <v>30.4</v>
      </c>
      <c r="X14" s="14">
        <v>0.2</v>
      </c>
    </row>
    <row r="15" spans="1:24" x14ac:dyDescent="0.25">
      <c r="A15" s="19"/>
      <c r="B15" s="16">
        <v>12</v>
      </c>
      <c r="C15" s="16" t="s">
        <v>132</v>
      </c>
      <c r="D15" s="21" t="s">
        <v>133</v>
      </c>
      <c r="E15" s="16">
        <f>240+11</f>
        <v>251</v>
      </c>
      <c r="F15" s="18">
        <v>9.8000000000000007</v>
      </c>
      <c r="G15" s="32">
        <v>0.8</v>
      </c>
      <c r="H15" s="32">
        <v>0.8</v>
      </c>
      <c r="I15" s="32"/>
      <c r="J15" s="32"/>
      <c r="K15" s="32"/>
      <c r="L15" s="32">
        <v>0.9</v>
      </c>
      <c r="M15" s="32">
        <v>0.7</v>
      </c>
      <c r="N15" s="32"/>
      <c r="O15" s="25"/>
      <c r="P15" s="25"/>
      <c r="Q15" s="25"/>
      <c r="R15" s="25"/>
      <c r="S15" s="25"/>
      <c r="T15" s="18">
        <f t="shared" si="0"/>
        <v>3.2</v>
      </c>
      <c r="U15" s="39">
        <v>4</v>
      </c>
      <c r="V15" s="19" t="s">
        <v>24</v>
      </c>
      <c r="W15" s="19">
        <v>29.7</v>
      </c>
      <c r="X15" s="14">
        <v>0.2</v>
      </c>
    </row>
    <row r="16" spans="1:24" x14ac:dyDescent="0.25">
      <c r="A16" s="8" t="s">
        <v>111</v>
      </c>
      <c r="B16" s="3">
        <v>13</v>
      </c>
      <c r="C16" s="3" t="s">
        <v>134</v>
      </c>
      <c r="D16" s="5" t="s">
        <v>75</v>
      </c>
      <c r="E16" s="3">
        <f>240+35</f>
        <v>275</v>
      </c>
      <c r="F16" s="35">
        <v>11.8</v>
      </c>
      <c r="G16" s="27">
        <v>2.2000000000000002</v>
      </c>
      <c r="H16" s="27"/>
      <c r="I16" s="27"/>
      <c r="J16" s="27"/>
      <c r="K16" s="27">
        <v>2</v>
      </c>
      <c r="L16" s="27">
        <v>1.1000000000000001</v>
      </c>
      <c r="M16" s="27"/>
      <c r="N16" s="27"/>
      <c r="O16" s="23"/>
      <c r="P16" s="23"/>
      <c r="Q16" s="23"/>
      <c r="R16" s="23"/>
      <c r="S16" s="23"/>
      <c r="T16" s="7">
        <f t="shared" si="0"/>
        <v>5.3000000000000007</v>
      </c>
      <c r="U16" s="37">
        <v>3</v>
      </c>
      <c r="V16" s="8" t="s">
        <v>24</v>
      </c>
      <c r="W16" s="8">
        <v>30.3</v>
      </c>
      <c r="X16" s="8">
        <v>0.3</v>
      </c>
    </row>
    <row r="17" spans="1:24" x14ac:dyDescent="0.25">
      <c r="A17" s="14"/>
      <c r="B17" s="10">
        <v>14</v>
      </c>
      <c r="C17" s="10" t="s">
        <v>135</v>
      </c>
      <c r="D17" s="11" t="s">
        <v>136</v>
      </c>
      <c r="E17" s="10">
        <f>240+27</f>
        <v>267</v>
      </c>
      <c r="F17" s="35">
        <v>10.7</v>
      </c>
      <c r="G17" s="30">
        <v>2.6</v>
      </c>
      <c r="H17" s="30">
        <v>0.5</v>
      </c>
      <c r="I17" s="30"/>
      <c r="J17" s="30"/>
      <c r="K17" s="30"/>
      <c r="L17" s="30">
        <v>2.4</v>
      </c>
      <c r="M17" s="30"/>
      <c r="N17" s="30"/>
      <c r="O17" s="24"/>
      <c r="P17" s="24"/>
      <c r="Q17" s="24"/>
      <c r="R17" s="24"/>
      <c r="S17" s="24"/>
      <c r="T17" s="13">
        <f t="shared" si="0"/>
        <v>5.5</v>
      </c>
      <c r="U17" s="38">
        <v>3</v>
      </c>
      <c r="V17" s="14" t="s">
        <v>24</v>
      </c>
      <c r="W17" s="14">
        <v>30</v>
      </c>
      <c r="X17" s="14">
        <v>0.2</v>
      </c>
    </row>
    <row r="18" spans="1:24" x14ac:dyDescent="0.25">
      <c r="A18" s="19"/>
      <c r="B18" s="16">
        <v>15</v>
      </c>
      <c r="C18" s="16" t="s">
        <v>137</v>
      </c>
      <c r="D18" s="21" t="s">
        <v>69</v>
      </c>
      <c r="E18" s="16">
        <f>240+2</f>
        <v>242</v>
      </c>
      <c r="F18" s="35">
        <v>9.8000000000000007</v>
      </c>
      <c r="G18" s="32">
        <v>1.9</v>
      </c>
      <c r="H18" s="32">
        <v>1</v>
      </c>
      <c r="I18" s="32"/>
      <c r="J18" s="32"/>
      <c r="K18" s="32"/>
      <c r="L18" s="32"/>
      <c r="M18" s="32">
        <v>1.1000000000000001</v>
      </c>
      <c r="N18" s="32"/>
      <c r="O18" s="25"/>
      <c r="P18" s="25"/>
      <c r="Q18" s="25"/>
      <c r="R18" s="25"/>
      <c r="S18" s="25"/>
      <c r="T18" s="18">
        <f t="shared" si="0"/>
        <v>4</v>
      </c>
      <c r="U18" s="39">
        <v>3</v>
      </c>
      <c r="V18" s="19" t="s">
        <v>24</v>
      </c>
      <c r="W18" s="19">
        <v>29.5</v>
      </c>
      <c r="X18" s="19">
        <v>0.2</v>
      </c>
    </row>
    <row r="19" spans="1:24" x14ac:dyDescent="0.25">
      <c r="A19" s="71" t="s">
        <v>55</v>
      </c>
      <c r="B19" s="72"/>
      <c r="C19" s="74"/>
      <c r="D19" s="74"/>
      <c r="E19" s="74"/>
      <c r="F19" s="75"/>
      <c r="G19" s="76">
        <f t="shared" ref="G19:M19" si="1">SUM(G4:G18)</f>
        <v>23.95</v>
      </c>
      <c r="H19" s="76">
        <f t="shared" si="1"/>
        <v>15.5</v>
      </c>
      <c r="I19" s="76">
        <f t="shared" si="1"/>
        <v>2.4</v>
      </c>
      <c r="J19" s="76">
        <f t="shared" si="1"/>
        <v>3.0200000000000005</v>
      </c>
      <c r="K19" s="76">
        <f t="shared" si="1"/>
        <v>3.6</v>
      </c>
      <c r="L19" s="76">
        <f t="shared" si="1"/>
        <v>20.5</v>
      </c>
      <c r="M19" s="76">
        <f t="shared" si="1"/>
        <v>8.5</v>
      </c>
      <c r="N19" s="77"/>
      <c r="O19" s="77"/>
      <c r="P19" s="77"/>
      <c r="Q19" s="77"/>
      <c r="R19" s="77"/>
      <c r="S19" s="77"/>
      <c r="T19" s="76">
        <f>SUM(T4:T18)</f>
        <v>77.47</v>
      </c>
      <c r="U19" s="22"/>
    </row>
    <row r="20" spans="1:24" x14ac:dyDescent="0.25">
      <c r="C20" s="62"/>
      <c r="D20" s="83" t="s">
        <v>159</v>
      </c>
      <c r="E20" s="82">
        <f>AVERAGE(E4:E18)</f>
        <v>262.53333333333336</v>
      </c>
      <c r="F20" s="82">
        <f>AVERAGE(F4:F18)</f>
        <v>10.706666666666669</v>
      </c>
      <c r="G20" s="82">
        <f>AVERAGE(G4:G18)</f>
        <v>1.5966666666666667</v>
      </c>
      <c r="H20" s="82">
        <f t="shared" ref="H20:M20" si="2">AVERAGE(H4:H18)</f>
        <v>1.55</v>
      </c>
      <c r="I20" s="82">
        <f t="shared" si="2"/>
        <v>2.4</v>
      </c>
      <c r="J20" s="82">
        <f t="shared" si="2"/>
        <v>0.75500000000000012</v>
      </c>
      <c r="K20" s="82">
        <f t="shared" si="2"/>
        <v>1.2</v>
      </c>
      <c r="L20" s="82">
        <f t="shared" si="2"/>
        <v>2.2777777777777777</v>
      </c>
      <c r="M20" s="82">
        <f t="shared" si="2"/>
        <v>1.4166666666666667</v>
      </c>
      <c r="N20" s="62"/>
      <c r="O20" s="62"/>
      <c r="P20" s="62"/>
      <c r="Q20" s="62"/>
      <c r="R20" s="62"/>
      <c r="S20" s="62"/>
      <c r="T20" s="79">
        <f t="shared" ref="T20" si="3">AVERAGE(T4:T18)</f>
        <v>5.1646666666666663</v>
      </c>
      <c r="U20" s="82">
        <f t="shared" ref="U20" si="4">AVERAGE(U4:U18)</f>
        <v>3.2</v>
      </c>
    </row>
    <row r="21" spans="1:24" x14ac:dyDescent="0.25">
      <c r="C21" s="62"/>
      <c r="D21" s="83" t="s">
        <v>160</v>
      </c>
      <c r="E21" s="80">
        <f>_xlfn.STDEV.S(E4:E18)</f>
        <v>16.287009138164894</v>
      </c>
      <c r="F21" s="80">
        <f>_xlfn.STDEV.S(F4:F18)</f>
        <v>0.74877678026676708</v>
      </c>
      <c r="G21" s="80">
        <f>_xlfn.STDEV.S(G4:G18)</f>
        <v>0.92918294882167973</v>
      </c>
      <c r="H21" s="80">
        <f t="shared" ref="H21:M21" si="5">_xlfn.STDEV.S(H4:H18)</f>
        <v>1.3802173741842265</v>
      </c>
      <c r="I21" s="80"/>
      <c r="J21" s="80">
        <f t="shared" si="5"/>
        <v>0.70906041115455476</v>
      </c>
      <c r="K21" s="80">
        <f t="shared" si="5"/>
        <v>0.8544003745317531</v>
      </c>
      <c r="L21" s="80">
        <f t="shared" si="5"/>
        <v>1.0568559241658457</v>
      </c>
      <c r="M21" s="80">
        <f t="shared" si="5"/>
        <v>1.1338724208069735</v>
      </c>
      <c r="N21" s="62"/>
      <c r="O21" s="62"/>
      <c r="P21" s="62"/>
      <c r="Q21" s="62"/>
      <c r="R21" s="62"/>
      <c r="S21" s="62"/>
      <c r="T21" s="80">
        <f t="shared" ref="T21" si="6">_xlfn.STDEV.S(T4:T18)</f>
        <v>2.5310524820055931</v>
      </c>
      <c r="U21" s="80">
        <f t="shared" ref="U21" si="7">_xlfn.STDEV.S(U4:U18)</f>
        <v>0.86189160737133486</v>
      </c>
    </row>
    <row r="23" spans="1:24" x14ac:dyDescent="0.25">
      <c r="E23">
        <v>39</v>
      </c>
      <c r="G23" s="61"/>
    </row>
  </sheetData>
  <mergeCells count="13">
    <mergeCell ref="G2:S2"/>
    <mergeCell ref="F2:F3"/>
    <mergeCell ref="A19:F19"/>
    <mergeCell ref="A2:A3"/>
    <mergeCell ref="B2:B3"/>
    <mergeCell ref="C2:C3"/>
    <mergeCell ref="D2:D3"/>
    <mergeCell ref="E2:E3"/>
    <mergeCell ref="W2:W3"/>
    <mergeCell ref="X2:X3"/>
    <mergeCell ref="V2:V3"/>
    <mergeCell ref="T2:T3"/>
    <mergeCell ref="U2:U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9DBA5-16DF-4AA0-BEB3-E20228328193}">
  <dimension ref="A1:E15"/>
  <sheetViews>
    <sheetView workbookViewId="0">
      <selection activeCell="A2" sqref="A2"/>
    </sheetView>
  </sheetViews>
  <sheetFormatPr defaultRowHeight="15" x14ac:dyDescent="0.25"/>
  <cols>
    <col min="1" max="1" width="3.5703125" bestFit="1" customWidth="1"/>
  </cols>
  <sheetData>
    <row r="1" spans="1:5" x14ac:dyDescent="0.25">
      <c r="A1" t="s">
        <v>161</v>
      </c>
    </row>
    <row r="3" spans="1:5" x14ac:dyDescent="0.25">
      <c r="A3" s="62"/>
      <c r="B3" s="62" t="s">
        <v>144</v>
      </c>
      <c r="C3" s="62" t="s">
        <v>158</v>
      </c>
      <c r="D3" s="62" t="s">
        <v>143</v>
      </c>
      <c r="E3" s="62" t="s">
        <v>157</v>
      </c>
    </row>
    <row r="4" spans="1:5" x14ac:dyDescent="0.25">
      <c r="A4" s="62"/>
      <c r="B4" s="62" t="s">
        <v>145</v>
      </c>
      <c r="C4" s="62">
        <v>0</v>
      </c>
      <c r="D4" s="62">
        <v>0</v>
      </c>
      <c r="E4" s="62">
        <v>0</v>
      </c>
    </row>
    <row r="5" spans="1:5" x14ac:dyDescent="0.25">
      <c r="A5" s="62"/>
      <c r="B5" s="62" t="s">
        <v>146</v>
      </c>
      <c r="C5" s="62">
        <v>0</v>
      </c>
      <c r="D5" s="62">
        <v>0</v>
      </c>
      <c r="E5" s="62">
        <v>0</v>
      </c>
    </row>
    <row r="6" spans="1:5" x14ac:dyDescent="0.25">
      <c r="A6" s="62"/>
      <c r="B6" s="62" t="s">
        <v>147</v>
      </c>
      <c r="C6" s="62">
        <v>1300</v>
      </c>
      <c r="D6" s="62">
        <v>1300</v>
      </c>
      <c r="E6" s="62">
        <f>(4000-C6-D6)</f>
        <v>1400</v>
      </c>
    </row>
    <row r="7" spans="1:5" x14ac:dyDescent="0.25">
      <c r="A7" s="62"/>
      <c r="B7" s="62" t="s">
        <v>148</v>
      </c>
      <c r="C7" s="62">
        <v>1900</v>
      </c>
      <c r="D7" s="62">
        <v>1700</v>
      </c>
      <c r="E7" s="62">
        <f>(6100-C7-D7)</f>
        <v>2500</v>
      </c>
    </row>
    <row r="8" spans="1:5" x14ac:dyDescent="0.25">
      <c r="A8" s="62"/>
      <c r="B8" s="62" t="s">
        <v>156</v>
      </c>
      <c r="C8" s="62">
        <v>1400</v>
      </c>
      <c r="D8" s="62">
        <v>1300</v>
      </c>
      <c r="E8" s="62">
        <f>(4900-C8-D8)</f>
        <v>2200</v>
      </c>
    </row>
    <row r="9" spans="1:5" x14ac:dyDescent="0.25">
      <c r="A9" s="62"/>
      <c r="B9" s="62" t="s">
        <v>155</v>
      </c>
      <c r="C9" s="62">
        <v>0</v>
      </c>
      <c r="D9" s="62">
        <v>1000</v>
      </c>
      <c r="E9" s="62">
        <f>(3800-C9-D9)</f>
        <v>2800</v>
      </c>
    </row>
    <row r="10" spans="1:5" x14ac:dyDescent="0.25">
      <c r="A10" s="62"/>
      <c r="B10" s="62" t="s">
        <v>154</v>
      </c>
      <c r="C10" s="62">
        <v>900</v>
      </c>
      <c r="D10" s="62">
        <v>900</v>
      </c>
      <c r="E10" s="62">
        <f>(3000-C10-D10)</f>
        <v>1200</v>
      </c>
    </row>
    <row r="11" spans="1:5" x14ac:dyDescent="0.25">
      <c r="A11" s="62"/>
      <c r="B11" s="62" t="s">
        <v>153</v>
      </c>
      <c r="C11" s="62">
        <v>900</v>
      </c>
      <c r="D11" s="62">
        <v>900</v>
      </c>
      <c r="E11" s="62">
        <f>(2900-C11-D11)</f>
        <v>1100</v>
      </c>
    </row>
    <row r="12" spans="1:5" x14ac:dyDescent="0.25">
      <c r="A12" s="62"/>
      <c r="B12" s="62" t="s">
        <v>149</v>
      </c>
      <c r="C12" s="62">
        <v>200</v>
      </c>
      <c r="D12" s="62">
        <v>900</v>
      </c>
      <c r="E12" s="62">
        <f>(2200-C12-D12)</f>
        <v>1100</v>
      </c>
    </row>
    <row r="13" spans="1:5" x14ac:dyDescent="0.25">
      <c r="A13" s="62"/>
      <c r="B13" s="62" t="s">
        <v>152</v>
      </c>
      <c r="C13" s="62">
        <v>800</v>
      </c>
      <c r="D13" s="62">
        <v>900</v>
      </c>
      <c r="E13" s="62">
        <f>(2100-C13-D13)</f>
        <v>400</v>
      </c>
    </row>
    <row r="14" spans="1:5" x14ac:dyDescent="0.25">
      <c r="A14" s="62"/>
      <c r="B14" s="62" t="s">
        <v>150</v>
      </c>
      <c r="C14" s="62">
        <v>600</v>
      </c>
      <c r="D14" s="62">
        <v>400</v>
      </c>
      <c r="E14" s="62">
        <f>(1300-C14-D14)</f>
        <v>300</v>
      </c>
    </row>
    <row r="15" spans="1:5" x14ac:dyDescent="0.25">
      <c r="A15" s="62"/>
      <c r="B15" s="62" t="s">
        <v>151</v>
      </c>
      <c r="C15" s="62">
        <v>600</v>
      </c>
      <c r="D15" s="62">
        <v>400</v>
      </c>
      <c r="E15" s="62">
        <f>(1300-C15-D15)</f>
        <v>300</v>
      </c>
    </row>
  </sheetData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Hasil Kombinasi</vt:lpstr>
      <vt:lpstr>Hasil Bambu 2</vt:lpstr>
      <vt:lpstr>Hasil PVC</vt:lpstr>
      <vt:lpstr>Hasil Bambu 1</vt:lpstr>
      <vt:lpstr>Data Tangkapan Bagan 2020 DKP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2022-06-17T11:32:29Z</dcterms:created>
  <dcterms:modified xsi:type="dcterms:W3CDTF">2022-09-02T15:05:54Z</dcterms:modified>
</cp:coreProperties>
</file>