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75" yWindow="30" windowWidth="14865" windowHeight="7740" firstSheet="1" activeTab="4"/>
  </bookViews>
  <sheets>
    <sheet name="Ruang Pembekuan No.1" sheetId="3" r:id="rId1"/>
    <sheet name="Ruang Pembekuan No.2" sheetId="4" r:id="rId2"/>
    <sheet name="Kapasitas refrigerasi" sheetId="7" r:id="rId3"/>
    <sheet name="Kapasitas Refrierasi_2" sheetId="9" r:id="rId4"/>
    <sheet name="Pengolahan data" sheetId="8" r:id="rId5"/>
  </sheets>
  <calcPr calcId="144525" calcMode="autoNoTable"/>
</workbook>
</file>

<file path=xl/calcChain.xml><?xml version="1.0" encoding="utf-8"?>
<calcChain xmlns="http://schemas.openxmlformats.org/spreadsheetml/2006/main">
  <c r="C63" i="8" l="1"/>
  <c r="Q51" i="8"/>
  <c r="C32" i="8"/>
  <c r="C13" i="8"/>
  <c r="O2" i="7"/>
  <c r="AE7" i="4"/>
  <c r="D63" i="8" l="1"/>
  <c r="D32" i="8"/>
  <c r="D13" i="8"/>
  <c r="B63" i="8"/>
  <c r="B32" i="8"/>
  <c r="B13" i="8"/>
  <c r="E63" i="8"/>
  <c r="E13" i="8"/>
  <c r="E32" i="8"/>
  <c r="E56" i="8" l="1"/>
  <c r="E57" i="8"/>
  <c r="E58" i="8"/>
  <c r="E59" i="8"/>
  <c r="E60" i="8"/>
  <c r="E61" i="8"/>
  <c r="E62" i="8"/>
  <c r="E55" i="8"/>
  <c r="C56" i="8"/>
  <c r="C57" i="8"/>
  <c r="C58" i="8"/>
  <c r="C59" i="8"/>
  <c r="C60" i="8"/>
  <c r="C61" i="8"/>
  <c r="C62" i="8"/>
  <c r="C55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18" i="8"/>
  <c r="E6" i="8"/>
  <c r="E7" i="8"/>
  <c r="E8" i="8"/>
  <c r="E9" i="8"/>
  <c r="E10" i="8"/>
  <c r="E11" i="8"/>
  <c r="E12" i="8"/>
  <c r="E5" i="8"/>
  <c r="M7" i="9"/>
  <c r="M8" i="9"/>
  <c r="M9" i="9"/>
  <c r="M10" i="9"/>
  <c r="M11" i="9"/>
  <c r="M12" i="9"/>
  <c r="M13" i="9"/>
  <c r="M14" i="9"/>
  <c r="P7" i="7"/>
  <c r="P8" i="7"/>
  <c r="P9" i="7"/>
  <c r="P10" i="7"/>
  <c r="P11" i="7"/>
  <c r="P12" i="7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8" i="7"/>
  <c r="P39" i="7"/>
  <c r="P40" i="7"/>
  <c r="P41" i="7"/>
  <c r="P42" i="7"/>
  <c r="P43" i="7"/>
  <c r="P44" i="7"/>
  <c r="P45" i="7"/>
  <c r="P46" i="7"/>
  <c r="P47" i="7"/>
  <c r="P48" i="7"/>
  <c r="P49" i="7"/>
  <c r="P50" i="7"/>
  <c r="P51" i="7"/>
  <c r="P52" i="7"/>
  <c r="P53" i="7"/>
  <c r="P54" i="7"/>
  <c r="P55" i="7"/>
  <c r="P56" i="7"/>
  <c r="P57" i="7"/>
  <c r="P58" i="7"/>
  <c r="P59" i="7"/>
  <c r="P60" i="7"/>
  <c r="P61" i="7"/>
  <c r="P62" i="7"/>
  <c r="P6" i="7"/>
  <c r="R52" i="8" l="1"/>
  <c r="R53" i="8"/>
  <c r="R54" i="8"/>
  <c r="R55" i="8"/>
  <c r="R56" i="8"/>
  <c r="R57" i="8"/>
  <c r="R58" i="8"/>
  <c r="R51" i="8"/>
  <c r="Q52" i="8"/>
  <c r="Q53" i="8"/>
  <c r="Q54" i="8"/>
  <c r="Q55" i="8"/>
  <c r="Q56" i="8"/>
  <c r="Q57" i="8"/>
  <c r="Q58" i="8"/>
  <c r="M42" i="9" l="1"/>
  <c r="M43" i="9"/>
  <c r="M44" i="9"/>
  <c r="M45" i="9"/>
  <c r="M46" i="9"/>
  <c r="M47" i="9"/>
  <c r="M48" i="9"/>
  <c r="M49" i="9"/>
  <c r="M50" i="9"/>
  <c r="M51" i="9"/>
  <c r="M52" i="9"/>
  <c r="M53" i="9"/>
  <c r="M54" i="9"/>
  <c r="M55" i="9"/>
  <c r="M56" i="9"/>
  <c r="M41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20" i="9"/>
  <c r="C47" i="8" l="1"/>
  <c r="B47" i="8"/>
  <c r="Q29" i="8"/>
  <c r="Q28" i="8"/>
  <c r="Q27" i="8"/>
  <c r="Q26" i="8"/>
  <c r="Q25" i="8"/>
  <c r="Q24" i="8"/>
  <c r="Q23" i="8"/>
  <c r="Q22" i="8"/>
  <c r="Q21" i="8"/>
  <c r="Q20" i="8"/>
  <c r="Q19" i="8"/>
  <c r="Q18" i="8"/>
  <c r="N56" i="9"/>
  <c r="L56" i="9"/>
  <c r="E56" i="9"/>
  <c r="D56" i="9"/>
  <c r="N55" i="9"/>
  <c r="L55" i="9"/>
  <c r="E55" i="9"/>
  <c r="D55" i="9"/>
  <c r="N54" i="9"/>
  <c r="O54" i="9" s="1"/>
  <c r="L54" i="9"/>
  <c r="E54" i="9"/>
  <c r="D54" i="9"/>
  <c r="N53" i="9"/>
  <c r="L53" i="9"/>
  <c r="O53" i="9" s="1"/>
  <c r="P53" i="9" s="1"/>
  <c r="E53" i="9"/>
  <c r="D53" i="9"/>
  <c r="N52" i="9"/>
  <c r="L52" i="9"/>
  <c r="E52" i="9"/>
  <c r="D52" i="9"/>
  <c r="N51" i="9"/>
  <c r="L51" i="9"/>
  <c r="E51" i="9"/>
  <c r="D51" i="9"/>
  <c r="N50" i="9"/>
  <c r="O50" i="9" s="1"/>
  <c r="L50" i="9"/>
  <c r="E50" i="9"/>
  <c r="D50" i="9"/>
  <c r="N49" i="9"/>
  <c r="L49" i="9"/>
  <c r="O49" i="9" s="1"/>
  <c r="P49" i="9" s="1"/>
  <c r="E49" i="9"/>
  <c r="D49" i="9"/>
  <c r="N48" i="9"/>
  <c r="L48" i="9"/>
  <c r="E48" i="9"/>
  <c r="D48" i="9"/>
  <c r="N47" i="9"/>
  <c r="L47" i="9"/>
  <c r="E47" i="9"/>
  <c r="D47" i="9"/>
  <c r="N46" i="9"/>
  <c r="O46" i="9" s="1"/>
  <c r="L46" i="9"/>
  <c r="E46" i="9"/>
  <c r="D46" i="9"/>
  <c r="N45" i="9"/>
  <c r="L45" i="9"/>
  <c r="O45" i="9" s="1"/>
  <c r="P45" i="9" s="1"/>
  <c r="E45" i="9"/>
  <c r="D45" i="9"/>
  <c r="N44" i="9"/>
  <c r="L44" i="9"/>
  <c r="E44" i="9"/>
  <c r="D44" i="9"/>
  <c r="N43" i="9"/>
  <c r="L43" i="9"/>
  <c r="E43" i="9"/>
  <c r="D43" i="9"/>
  <c r="N42" i="9"/>
  <c r="O42" i="9" s="1"/>
  <c r="L42" i="9"/>
  <c r="E42" i="9"/>
  <c r="D42" i="9"/>
  <c r="N41" i="9"/>
  <c r="L41" i="9"/>
  <c r="O41" i="9" s="1"/>
  <c r="E41" i="9"/>
  <c r="D41" i="9"/>
  <c r="N33" i="9"/>
  <c r="O33" i="9" s="1"/>
  <c r="P33" i="9" s="1"/>
  <c r="L33" i="9"/>
  <c r="E33" i="9"/>
  <c r="D33" i="9"/>
  <c r="N32" i="9"/>
  <c r="L32" i="9"/>
  <c r="O32" i="9" s="1"/>
  <c r="P32" i="9" s="1"/>
  <c r="E32" i="9"/>
  <c r="D32" i="9"/>
  <c r="N31" i="9"/>
  <c r="O31" i="9" s="1"/>
  <c r="P31" i="9" s="1"/>
  <c r="L31" i="9"/>
  <c r="E31" i="9"/>
  <c r="D31" i="9"/>
  <c r="O30" i="9"/>
  <c r="P30" i="9" s="1"/>
  <c r="N30" i="9"/>
  <c r="L30" i="9"/>
  <c r="E30" i="9"/>
  <c r="D30" i="9"/>
  <c r="N29" i="9"/>
  <c r="O29" i="9" s="1"/>
  <c r="P29" i="9" s="1"/>
  <c r="L29" i="9"/>
  <c r="E29" i="9"/>
  <c r="D29" i="9"/>
  <c r="N28" i="9"/>
  <c r="L28" i="9"/>
  <c r="O28" i="9" s="1"/>
  <c r="P28" i="9" s="1"/>
  <c r="E28" i="9"/>
  <c r="D28" i="9"/>
  <c r="N27" i="9"/>
  <c r="O27" i="9" s="1"/>
  <c r="P27" i="9" s="1"/>
  <c r="L27" i="9"/>
  <c r="E27" i="9"/>
  <c r="D27" i="9"/>
  <c r="N26" i="9"/>
  <c r="L26" i="9"/>
  <c r="O26" i="9" s="1"/>
  <c r="P26" i="9" s="1"/>
  <c r="E26" i="9"/>
  <c r="D26" i="9"/>
  <c r="N25" i="9"/>
  <c r="O25" i="9" s="1"/>
  <c r="P25" i="9" s="1"/>
  <c r="L25" i="9"/>
  <c r="E25" i="9"/>
  <c r="D25" i="9"/>
  <c r="N24" i="9"/>
  <c r="L24" i="9"/>
  <c r="O24" i="9" s="1"/>
  <c r="P24" i="9" s="1"/>
  <c r="E24" i="9"/>
  <c r="D24" i="9"/>
  <c r="N23" i="9"/>
  <c r="O23" i="9" s="1"/>
  <c r="P23" i="9" s="1"/>
  <c r="L23" i="9"/>
  <c r="E23" i="9"/>
  <c r="D23" i="9"/>
  <c r="N22" i="9"/>
  <c r="L22" i="9"/>
  <c r="O22" i="9" s="1"/>
  <c r="P22" i="9" s="1"/>
  <c r="E22" i="9"/>
  <c r="D22" i="9"/>
  <c r="N21" i="9"/>
  <c r="O21" i="9" s="1"/>
  <c r="P21" i="9" s="1"/>
  <c r="L21" i="9"/>
  <c r="E21" i="9"/>
  <c r="D21" i="9"/>
  <c r="N20" i="9"/>
  <c r="L20" i="9"/>
  <c r="O20" i="9" s="1"/>
  <c r="P20" i="9" s="1"/>
  <c r="E20" i="9"/>
  <c r="D20" i="9"/>
  <c r="N14" i="9"/>
  <c r="L14" i="9"/>
  <c r="E14" i="9"/>
  <c r="D14" i="9"/>
  <c r="N13" i="9"/>
  <c r="L13" i="9"/>
  <c r="E13" i="9"/>
  <c r="D13" i="9"/>
  <c r="N12" i="9"/>
  <c r="L12" i="9"/>
  <c r="E12" i="9"/>
  <c r="D12" i="9"/>
  <c r="N11" i="9"/>
  <c r="L11" i="9"/>
  <c r="E11" i="9"/>
  <c r="D11" i="9"/>
  <c r="N10" i="9"/>
  <c r="L10" i="9"/>
  <c r="E10" i="9"/>
  <c r="D10" i="9"/>
  <c r="N9" i="9"/>
  <c r="L9" i="9"/>
  <c r="E9" i="9"/>
  <c r="D9" i="9"/>
  <c r="N8" i="9"/>
  <c r="L8" i="9"/>
  <c r="E8" i="9"/>
  <c r="D8" i="9"/>
  <c r="N7" i="9"/>
  <c r="L7" i="9"/>
  <c r="E7" i="9"/>
  <c r="D7" i="9"/>
  <c r="R62" i="7"/>
  <c r="Q62" i="7"/>
  <c r="O62" i="7"/>
  <c r="H62" i="7"/>
  <c r="G62" i="7"/>
  <c r="F62" i="7"/>
  <c r="Q61" i="7"/>
  <c r="R61" i="7" s="1"/>
  <c r="O61" i="7"/>
  <c r="H61" i="7"/>
  <c r="G61" i="7"/>
  <c r="F61" i="7"/>
  <c r="R60" i="7"/>
  <c r="Q60" i="7"/>
  <c r="O60" i="7"/>
  <c r="H60" i="7"/>
  <c r="G60" i="7"/>
  <c r="F60" i="7"/>
  <c r="Q59" i="7"/>
  <c r="R59" i="7" s="1"/>
  <c r="O59" i="7"/>
  <c r="H59" i="7"/>
  <c r="G59" i="7"/>
  <c r="F59" i="7"/>
  <c r="R58" i="7"/>
  <c r="Q58" i="7"/>
  <c r="O58" i="7"/>
  <c r="H58" i="7"/>
  <c r="G58" i="7"/>
  <c r="F58" i="7"/>
  <c r="Q57" i="7"/>
  <c r="R57" i="7" s="1"/>
  <c r="O57" i="7"/>
  <c r="H57" i="7"/>
  <c r="G57" i="7"/>
  <c r="F57" i="7"/>
  <c r="R56" i="7"/>
  <c r="Q56" i="7"/>
  <c r="O56" i="7"/>
  <c r="H56" i="7"/>
  <c r="G56" i="7"/>
  <c r="F56" i="7"/>
  <c r="Q55" i="7"/>
  <c r="R55" i="7" s="1"/>
  <c r="O55" i="7"/>
  <c r="H55" i="7"/>
  <c r="G55" i="7"/>
  <c r="F55" i="7"/>
  <c r="R54" i="7"/>
  <c r="Q54" i="7"/>
  <c r="O54" i="7"/>
  <c r="H54" i="7"/>
  <c r="G54" i="7"/>
  <c r="F54" i="7"/>
  <c r="Q53" i="7"/>
  <c r="R53" i="7" s="1"/>
  <c r="O53" i="7"/>
  <c r="H53" i="7"/>
  <c r="G53" i="7"/>
  <c r="F53" i="7"/>
  <c r="R52" i="7"/>
  <c r="Q52" i="7"/>
  <c r="O52" i="7"/>
  <c r="H52" i="7"/>
  <c r="G52" i="7"/>
  <c r="F52" i="7"/>
  <c r="Q51" i="7"/>
  <c r="R51" i="7" s="1"/>
  <c r="O51" i="7"/>
  <c r="H51" i="7"/>
  <c r="G51" i="7"/>
  <c r="F51" i="7"/>
  <c r="R50" i="7"/>
  <c r="Q50" i="7"/>
  <c r="O50" i="7"/>
  <c r="H50" i="7"/>
  <c r="G50" i="7"/>
  <c r="F50" i="7"/>
  <c r="Q49" i="7"/>
  <c r="R49" i="7" s="1"/>
  <c r="O49" i="7"/>
  <c r="H49" i="7"/>
  <c r="G49" i="7"/>
  <c r="F49" i="7"/>
  <c r="R48" i="7"/>
  <c r="Q48" i="7"/>
  <c r="O48" i="7"/>
  <c r="H48" i="7"/>
  <c r="G48" i="7"/>
  <c r="F48" i="7"/>
  <c r="Q47" i="7"/>
  <c r="R47" i="7" s="1"/>
  <c r="O47" i="7"/>
  <c r="H47" i="7"/>
  <c r="G47" i="7"/>
  <c r="F47" i="7"/>
  <c r="R46" i="7"/>
  <c r="Q46" i="7"/>
  <c r="O46" i="7"/>
  <c r="H46" i="7"/>
  <c r="G46" i="7"/>
  <c r="F46" i="7"/>
  <c r="Q45" i="7"/>
  <c r="R45" i="7" s="1"/>
  <c r="O45" i="7"/>
  <c r="H45" i="7"/>
  <c r="G45" i="7"/>
  <c r="F45" i="7"/>
  <c r="R44" i="7"/>
  <c r="Q44" i="7"/>
  <c r="O44" i="7"/>
  <c r="H44" i="7"/>
  <c r="G44" i="7"/>
  <c r="F44" i="7"/>
  <c r="Q43" i="7"/>
  <c r="R43" i="7" s="1"/>
  <c r="O43" i="7"/>
  <c r="H43" i="7"/>
  <c r="G43" i="7"/>
  <c r="F43" i="7"/>
  <c r="R42" i="7"/>
  <c r="Q42" i="7"/>
  <c r="O42" i="7"/>
  <c r="H42" i="7"/>
  <c r="G42" i="7"/>
  <c r="F42" i="7"/>
  <c r="Q41" i="7"/>
  <c r="R41" i="7" s="1"/>
  <c r="O41" i="7"/>
  <c r="H41" i="7"/>
  <c r="G41" i="7"/>
  <c r="F41" i="7"/>
  <c r="R40" i="7"/>
  <c r="Q40" i="7"/>
  <c r="O40" i="7"/>
  <c r="H40" i="7"/>
  <c r="G40" i="7"/>
  <c r="F40" i="7"/>
  <c r="Q39" i="7"/>
  <c r="R39" i="7" s="1"/>
  <c r="O39" i="7"/>
  <c r="H39" i="7"/>
  <c r="G39" i="7"/>
  <c r="F39" i="7"/>
  <c r="R38" i="7"/>
  <c r="Q38" i="7"/>
  <c r="O38" i="7"/>
  <c r="H38" i="7"/>
  <c r="G38" i="7"/>
  <c r="F38" i="7"/>
  <c r="Q37" i="7"/>
  <c r="R37" i="7" s="1"/>
  <c r="O37" i="7"/>
  <c r="H37" i="7"/>
  <c r="G37" i="7"/>
  <c r="F37" i="7"/>
  <c r="R36" i="7"/>
  <c r="Q36" i="7"/>
  <c r="O36" i="7"/>
  <c r="H36" i="7"/>
  <c r="G36" i="7"/>
  <c r="F36" i="7"/>
  <c r="Q35" i="7"/>
  <c r="R35" i="7" s="1"/>
  <c r="O35" i="7"/>
  <c r="H35" i="7"/>
  <c r="G35" i="7"/>
  <c r="F35" i="7"/>
  <c r="R34" i="7"/>
  <c r="Q34" i="7"/>
  <c r="O34" i="7"/>
  <c r="H34" i="7"/>
  <c r="G34" i="7"/>
  <c r="F34" i="7"/>
  <c r="Q33" i="7"/>
  <c r="R33" i="7" s="1"/>
  <c r="O33" i="7"/>
  <c r="H33" i="7"/>
  <c r="G33" i="7"/>
  <c r="F33" i="7"/>
  <c r="R32" i="7"/>
  <c r="Q32" i="7"/>
  <c r="O32" i="7"/>
  <c r="H32" i="7"/>
  <c r="G32" i="7"/>
  <c r="F32" i="7"/>
  <c r="Q31" i="7"/>
  <c r="R31" i="7" s="1"/>
  <c r="O31" i="7"/>
  <c r="H31" i="7"/>
  <c r="G31" i="7"/>
  <c r="F31" i="7"/>
  <c r="R30" i="7"/>
  <c r="Q30" i="7"/>
  <c r="O30" i="7"/>
  <c r="H30" i="7"/>
  <c r="G30" i="7"/>
  <c r="F30" i="7"/>
  <c r="Q29" i="7"/>
  <c r="R29" i="7" s="1"/>
  <c r="O29" i="7"/>
  <c r="H29" i="7"/>
  <c r="G29" i="7"/>
  <c r="F29" i="7"/>
  <c r="R28" i="7"/>
  <c r="Q28" i="7"/>
  <c r="O28" i="7"/>
  <c r="H28" i="7"/>
  <c r="G28" i="7"/>
  <c r="F28" i="7"/>
  <c r="Q27" i="7"/>
  <c r="R27" i="7" s="1"/>
  <c r="O27" i="7"/>
  <c r="H27" i="7"/>
  <c r="G27" i="7"/>
  <c r="F27" i="7"/>
  <c r="R26" i="7"/>
  <c r="Q26" i="7"/>
  <c r="O26" i="7"/>
  <c r="H26" i="7"/>
  <c r="G26" i="7"/>
  <c r="F26" i="7"/>
  <c r="Q25" i="7"/>
  <c r="R25" i="7" s="1"/>
  <c r="O25" i="7"/>
  <c r="H25" i="7"/>
  <c r="G25" i="7"/>
  <c r="F25" i="7"/>
  <c r="R24" i="7"/>
  <c r="Q24" i="7"/>
  <c r="O24" i="7"/>
  <c r="H24" i="7"/>
  <c r="G24" i="7"/>
  <c r="F24" i="7"/>
  <c r="Q23" i="7"/>
  <c r="R23" i="7" s="1"/>
  <c r="O23" i="7"/>
  <c r="H23" i="7"/>
  <c r="G23" i="7"/>
  <c r="F23" i="7"/>
  <c r="R22" i="7"/>
  <c r="Q22" i="7"/>
  <c r="O22" i="7"/>
  <c r="H22" i="7"/>
  <c r="G22" i="7"/>
  <c r="F22" i="7"/>
  <c r="Q21" i="7"/>
  <c r="R21" i="7" s="1"/>
  <c r="O21" i="7"/>
  <c r="H21" i="7"/>
  <c r="G21" i="7"/>
  <c r="F21" i="7"/>
  <c r="R20" i="7"/>
  <c r="Q20" i="7"/>
  <c r="O20" i="7"/>
  <c r="H20" i="7"/>
  <c r="G20" i="7"/>
  <c r="F20" i="7"/>
  <c r="Q19" i="7"/>
  <c r="R19" i="7" s="1"/>
  <c r="O19" i="7"/>
  <c r="H19" i="7"/>
  <c r="G19" i="7"/>
  <c r="F19" i="7"/>
  <c r="R18" i="7"/>
  <c r="Q18" i="7"/>
  <c r="O18" i="7"/>
  <c r="H18" i="7"/>
  <c r="G18" i="7"/>
  <c r="F18" i="7"/>
  <c r="Q17" i="7"/>
  <c r="R17" i="7" s="1"/>
  <c r="O17" i="7"/>
  <c r="H17" i="7"/>
  <c r="G17" i="7"/>
  <c r="F17" i="7"/>
  <c r="R16" i="7"/>
  <c r="Q16" i="7"/>
  <c r="O16" i="7"/>
  <c r="H16" i="7"/>
  <c r="G16" i="7"/>
  <c r="F16" i="7"/>
  <c r="Q15" i="7"/>
  <c r="R15" i="7" s="1"/>
  <c r="O15" i="7"/>
  <c r="H15" i="7"/>
  <c r="G15" i="7"/>
  <c r="F15" i="7"/>
  <c r="R14" i="7"/>
  <c r="Q14" i="7"/>
  <c r="O14" i="7"/>
  <c r="H14" i="7"/>
  <c r="G14" i="7"/>
  <c r="F14" i="7"/>
  <c r="Q13" i="7"/>
  <c r="R13" i="7" s="1"/>
  <c r="O13" i="7"/>
  <c r="H13" i="7"/>
  <c r="G13" i="7"/>
  <c r="F13" i="7"/>
  <c r="R12" i="7"/>
  <c r="Q12" i="7"/>
  <c r="O12" i="7"/>
  <c r="H12" i="7"/>
  <c r="G12" i="7"/>
  <c r="F12" i="7"/>
  <c r="Q11" i="7"/>
  <c r="R11" i="7" s="1"/>
  <c r="O11" i="7"/>
  <c r="H11" i="7"/>
  <c r="G11" i="7"/>
  <c r="F11" i="7"/>
  <c r="Q10" i="7"/>
  <c r="R10" i="7" s="1"/>
  <c r="O10" i="7"/>
  <c r="H10" i="7"/>
  <c r="G10" i="7"/>
  <c r="F10" i="7"/>
  <c r="Q9" i="7"/>
  <c r="R9" i="7" s="1"/>
  <c r="O9" i="7"/>
  <c r="H9" i="7"/>
  <c r="G9" i="7"/>
  <c r="F9" i="7"/>
  <c r="Q8" i="7"/>
  <c r="R8" i="7" s="1"/>
  <c r="O8" i="7"/>
  <c r="H8" i="7"/>
  <c r="G8" i="7"/>
  <c r="F8" i="7"/>
  <c r="Q7" i="7"/>
  <c r="R7" i="7" s="1"/>
  <c r="O7" i="7"/>
  <c r="H7" i="7"/>
  <c r="G7" i="7"/>
  <c r="F7" i="7"/>
  <c r="Q6" i="7"/>
  <c r="R6" i="7" s="1"/>
  <c r="O6" i="7"/>
  <c r="H6" i="7"/>
  <c r="G6" i="7"/>
  <c r="F6" i="7"/>
  <c r="AD29" i="4"/>
  <c r="AD30" i="4" s="1"/>
  <c r="L27" i="4"/>
  <c r="K27" i="4"/>
  <c r="J27" i="4"/>
  <c r="I27" i="4"/>
  <c r="L26" i="4"/>
  <c r="K26" i="4"/>
  <c r="J26" i="4"/>
  <c r="I26" i="4"/>
  <c r="AD25" i="4"/>
  <c r="Z25" i="4"/>
  <c r="T25" i="4"/>
  <c r="L25" i="4"/>
  <c r="K25" i="4"/>
  <c r="J25" i="4"/>
  <c r="M25" i="4" s="1"/>
  <c r="O25" i="4" s="1"/>
  <c r="I25" i="4"/>
  <c r="L24" i="4"/>
  <c r="K24" i="4"/>
  <c r="J24" i="4"/>
  <c r="I24" i="4"/>
  <c r="L23" i="4"/>
  <c r="K23" i="4"/>
  <c r="J23" i="4"/>
  <c r="M23" i="4" s="1"/>
  <c r="O23" i="4" s="1"/>
  <c r="I23" i="4"/>
  <c r="Z22" i="4"/>
  <c r="T22" i="4"/>
  <c r="L22" i="4"/>
  <c r="K22" i="4"/>
  <c r="J22" i="4"/>
  <c r="M22" i="4" s="1"/>
  <c r="O22" i="4" s="1"/>
  <c r="I22" i="4"/>
  <c r="L21" i="4"/>
  <c r="K21" i="4"/>
  <c r="J21" i="4"/>
  <c r="I21" i="4"/>
  <c r="Z20" i="4"/>
  <c r="T20" i="4"/>
  <c r="L20" i="4"/>
  <c r="K20" i="4"/>
  <c r="J20" i="4"/>
  <c r="M20" i="4" s="1"/>
  <c r="O20" i="4" s="1"/>
  <c r="I20" i="4"/>
  <c r="L19" i="4"/>
  <c r="K19" i="4"/>
  <c r="J19" i="4"/>
  <c r="I19" i="4"/>
  <c r="AD18" i="4"/>
  <c r="AD20" i="4" s="1"/>
  <c r="L18" i="4"/>
  <c r="K18" i="4"/>
  <c r="M18" i="4" s="1"/>
  <c r="O18" i="4" s="1"/>
  <c r="J18" i="4"/>
  <c r="I18" i="4"/>
  <c r="Z17" i="4"/>
  <c r="T17" i="4"/>
  <c r="AA17" i="4" s="1"/>
  <c r="L17" i="4"/>
  <c r="K17" i="4"/>
  <c r="J17" i="4"/>
  <c r="I17" i="4"/>
  <c r="L16" i="4"/>
  <c r="K16" i="4"/>
  <c r="J16" i="4"/>
  <c r="I16" i="4"/>
  <c r="L15" i="4"/>
  <c r="K15" i="4"/>
  <c r="M15" i="4" s="1"/>
  <c r="O15" i="4" s="1"/>
  <c r="J15" i="4"/>
  <c r="I15" i="4"/>
  <c r="Z14" i="4"/>
  <c r="T14" i="4"/>
  <c r="AA14" i="4" s="1"/>
  <c r="L14" i="4"/>
  <c r="K14" i="4"/>
  <c r="J14" i="4"/>
  <c r="I14" i="4"/>
  <c r="L13" i="4"/>
  <c r="K13" i="4"/>
  <c r="J13" i="4"/>
  <c r="I13" i="4"/>
  <c r="AD12" i="4"/>
  <c r="L12" i="4"/>
  <c r="K12" i="4"/>
  <c r="J12" i="4"/>
  <c r="M12" i="4" s="1"/>
  <c r="O12" i="4" s="1"/>
  <c r="I12" i="4"/>
  <c r="Z11" i="4"/>
  <c r="T11" i="4"/>
  <c r="L11" i="4"/>
  <c r="K11" i="4"/>
  <c r="J11" i="4"/>
  <c r="M11" i="4" s="1"/>
  <c r="O11" i="4" s="1"/>
  <c r="I11" i="4"/>
  <c r="L10" i="4"/>
  <c r="K10" i="4"/>
  <c r="J10" i="4"/>
  <c r="I10" i="4"/>
  <c r="L9" i="4"/>
  <c r="K9" i="4"/>
  <c r="J9" i="4"/>
  <c r="I9" i="4"/>
  <c r="AD8" i="4"/>
  <c r="AD9" i="4" s="1"/>
  <c r="AD13" i="4" s="1"/>
  <c r="AD14" i="4" s="1"/>
  <c r="L8" i="4"/>
  <c r="K8" i="4"/>
  <c r="J8" i="4"/>
  <c r="I8" i="4"/>
  <c r="Z7" i="4"/>
  <c r="T7" i="4"/>
  <c r="AA7" i="4" s="1"/>
  <c r="L7" i="4"/>
  <c r="K7" i="4"/>
  <c r="J7" i="4"/>
  <c r="I7" i="4"/>
  <c r="L6" i="4"/>
  <c r="K6" i="4"/>
  <c r="J6" i="4"/>
  <c r="I6" i="4"/>
  <c r="AD29" i="3"/>
  <c r="Z24" i="3"/>
  <c r="T24" i="3"/>
  <c r="AD22" i="3"/>
  <c r="AD24" i="3" s="1"/>
  <c r="Z21" i="3"/>
  <c r="T21" i="3"/>
  <c r="AA21" i="3" s="1"/>
  <c r="L21" i="3"/>
  <c r="K21" i="3"/>
  <c r="J21" i="3"/>
  <c r="I21" i="3"/>
  <c r="L20" i="3"/>
  <c r="K20" i="3"/>
  <c r="J20" i="3"/>
  <c r="I20" i="3"/>
  <c r="Z19" i="3"/>
  <c r="T19" i="3"/>
  <c r="AA19" i="3" s="1"/>
  <c r="L19" i="3"/>
  <c r="K19" i="3"/>
  <c r="J19" i="3"/>
  <c r="I19" i="3"/>
  <c r="AD18" i="3"/>
  <c r="L18" i="3"/>
  <c r="K18" i="3"/>
  <c r="J18" i="3"/>
  <c r="M18" i="3" s="1"/>
  <c r="O18" i="3" s="1"/>
  <c r="I18" i="3"/>
  <c r="L17" i="3"/>
  <c r="K17" i="3"/>
  <c r="J17" i="3"/>
  <c r="I17" i="3"/>
  <c r="Z16" i="3"/>
  <c r="T16" i="3"/>
  <c r="L16" i="3"/>
  <c r="K16" i="3"/>
  <c r="J16" i="3"/>
  <c r="I16" i="3"/>
  <c r="L15" i="3"/>
  <c r="K15" i="3"/>
  <c r="J15" i="3"/>
  <c r="M15" i="3" s="1"/>
  <c r="O15" i="3" s="1"/>
  <c r="I15" i="3"/>
  <c r="L14" i="3"/>
  <c r="K14" i="3"/>
  <c r="J14" i="3"/>
  <c r="M14" i="3" s="1"/>
  <c r="O14" i="3" s="1"/>
  <c r="I14" i="3"/>
  <c r="Z13" i="3"/>
  <c r="T13" i="3"/>
  <c r="L13" i="3"/>
  <c r="K13" i="3"/>
  <c r="J13" i="3"/>
  <c r="I13" i="3"/>
  <c r="AD12" i="3"/>
  <c r="L12" i="3"/>
  <c r="K12" i="3"/>
  <c r="M12" i="3" s="1"/>
  <c r="O12" i="3" s="1"/>
  <c r="J12" i="3"/>
  <c r="I12" i="3"/>
  <c r="L11" i="3"/>
  <c r="K11" i="3"/>
  <c r="J11" i="3"/>
  <c r="I11" i="3"/>
  <c r="Z10" i="3"/>
  <c r="T10" i="3"/>
  <c r="AA10" i="3" s="1"/>
  <c r="L10" i="3"/>
  <c r="K10" i="3"/>
  <c r="J10" i="3"/>
  <c r="I10" i="3"/>
  <c r="L9" i="3"/>
  <c r="K9" i="3"/>
  <c r="J9" i="3"/>
  <c r="I9" i="3"/>
  <c r="AD8" i="3"/>
  <c r="AD9" i="3" s="1"/>
  <c r="L8" i="3"/>
  <c r="K8" i="3"/>
  <c r="J8" i="3"/>
  <c r="M8" i="3" s="1"/>
  <c r="O8" i="3" s="1"/>
  <c r="I8" i="3"/>
  <c r="Z7" i="3"/>
  <c r="T7" i="3"/>
  <c r="L7" i="3"/>
  <c r="K7" i="3"/>
  <c r="J7" i="3"/>
  <c r="M7" i="3" s="1"/>
  <c r="O7" i="3" s="1"/>
  <c r="I7" i="3"/>
  <c r="L6" i="3"/>
  <c r="K6" i="3"/>
  <c r="J6" i="3"/>
  <c r="I6" i="3"/>
  <c r="O7" i="9" l="1"/>
  <c r="P7" i="9" s="1"/>
  <c r="O8" i="9"/>
  <c r="P8" i="9" s="1"/>
  <c r="O9" i="9"/>
  <c r="P9" i="9" s="1"/>
  <c r="O10" i="9"/>
  <c r="P10" i="9" s="1"/>
  <c r="O11" i="9"/>
  <c r="P11" i="9" s="1"/>
  <c r="O12" i="9"/>
  <c r="P12" i="9" s="1"/>
  <c r="O13" i="9"/>
  <c r="P13" i="9" s="1"/>
  <c r="O14" i="9"/>
  <c r="P14" i="9" s="1"/>
  <c r="O43" i="9"/>
  <c r="P43" i="9" s="1"/>
  <c r="O44" i="9"/>
  <c r="O47" i="9"/>
  <c r="P47" i="9" s="1"/>
  <c r="O48" i="9"/>
  <c r="O51" i="9"/>
  <c r="P51" i="9" s="1"/>
  <c r="O52" i="9"/>
  <c r="O55" i="9"/>
  <c r="P55" i="9" s="1"/>
  <c r="O56" i="9"/>
  <c r="P41" i="9"/>
  <c r="M8" i="4"/>
  <c r="O8" i="4" s="1"/>
  <c r="M17" i="4"/>
  <c r="O17" i="4" s="1"/>
  <c r="M26" i="4"/>
  <c r="O26" i="4" s="1"/>
  <c r="M7" i="4"/>
  <c r="O7" i="4" s="1"/>
  <c r="M9" i="4"/>
  <c r="O9" i="4" s="1"/>
  <c r="M10" i="4"/>
  <c r="O10" i="4" s="1"/>
  <c r="AA11" i="4"/>
  <c r="M13" i="4"/>
  <c r="O13" i="4" s="1"/>
  <c r="M14" i="4"/>
  <c r="O14" i="4" s="1"/>
  <c r="M16" i="4"/>
  <c r="O16" i="4" s="1"/>
  <c r="M19" i="4"/>
  <c r="O19" i="4" s="1"/>
  <c r="AA20" i="4"/>
  <c r="AB7" i="4" s="1"/>
  <c r="M21" i="4"/>
  <c r="O21" i="4" s="1"/>
  <c r="AA22" i="4"/>
  <c r="M24" i="4"/>
  <c r="O24" i="4" s="1"/>
  <c r="AA25" i="4"/>
  <c r="M27" i="4"/>
  <c r="O27" i="4" s="1"/>
  <c r="M6" i="4"/>
  <c r="O6" i="4" s="1"/>
  <c r="M21" i="3"/>
  <c r="O21" i="3" s="1"/>
  <c r="M6" i="3"/>
  <c r="O6" i="3" s="1"/>
  <c r="AA7" i="3"/>
  <c r="AD13" i="3"/>
  <c r="AD14" i="3" s="1"/>
  <c r="M9" i="3"/>
  <c r="O9" i="3" s="1"/>
  <c r="M10" i="3"/>
  <c r="O10" i="3" s="1"/>
  <c r="M11" i="3"/>
  <c r="O11" i="3" s="1"/>
  <c r="M13" i="3"/>
  <c r="AA13" i="3"/>
  <c r="M16" i="3"/>
  <c r="O16" i="3" s="1"/>
  <c r="AA16" i="3"/>
  <c r="M17" i="3"/>
  <c r="O17" i="3" s="1"/>
  <c r="M19" i="3"/>
  <c r="O19" i="3" s="1"/>
  <c r="M20" i="3"/>
  <c r="O20" i="3" s="1"/>
  <c r="AA24" i="3"/>
  <c r="AB7" i="3" l="1"/>
  <c r="AE7" i="3" s="1"/>
</calcChain>
</file>

<file path=xl/sharedStrings.xml><?xml version="1.0" encoding="utf-8"?>
<sst xmlns="http://schemas.openxmlformats.org/spreadsheetml/2006/main" count="527" uniqueCount="171">
  <si>
    <t>h1</t>
  </si>
  <si>
    <t>TANGGAL</t>
  </si>
  <si>
    <t>JAM</t>
  </si>
  <si>
    <t>TEKANAN</t>
  </si>
  <si>
    <t>LP</t>
  </si>
  <si>
    <t>LO</t>
  </si>
  <si>
    <t>HP</t>
  </si>
  <si>
    <t>TEMPERATUR</t>
  </si>
  <si>
    <t>Kanan</t>
  </si>
  <si>
    <t>Kiri</t>
  </si>
  <si>
    <t>Hari/Tanggal</t>
  </si>
  <si>
    <t>Massa Ikan</t>
  </si>
  <si>
    <t>Qp</t>
  </si>
  <si>
    <t>kg</t>
  </si>
  <si>
    <r>
      <t>o</t>
    </r>
    <r>
      <rPr>
        <sz val="12"/>
        <color indexed="8"/>
        <rFont val="Times New Roman"/>
        <family val="1"/>
      </rPr>
      <t>C</t>
    </r>
  </si>
  <si>
    <r>
      <t>kJ/kg.</t>
    </r>
    <r>
      <rPr>
        <vertAlign val="superscript"/>
        <sz val="12"/>
        <color indexed="8"/>
        <rFont val="Times New Roman"/>
        <family val="1"/>
      </rPr>
      <t>o</t>
    </r>
    <r>
      <rPr>
        <sz val="12"/>
        <color indexed="8"/>
        <rFont val="Times New Roman"/>
        <family val="1"/>
      </rPr>
      <t>C</t>
    </r>
  </si>
  <si>
    <r>
      <rPr>
        <vertAlign val="superscript"/>
        <sz val="12"/>
        <color indexed="8"/>
        <rFont val="Times New Roman"/>
        <family val="1"/>
      </rPr>
      <t>o</t>
    </r>
    <r>
      <rPr>
        <sz val="12"/>
        <color indexed="8"/>
        <rFont val="Times New Roman"/>
        <family val="1"/>
      </rPr>
      <t>C</t>
    </r>
  </si>
  <si>
    <t>kJ</t>
  </si>
  <si>
    <t>C</t>
  </si>
  <si>
    <t>Cp</t>
  </si>
  <si>
    <r>
      <t>h</t>
    </r>
    <r>
      <rPr>
        <i/>
        <sz val="12"/>
        <color indexed="8"/>
        <rFont val="Times New Roman"/>
        <family val="1"/>
      </rPr>
      <t>if</t>
    </r>
  </si>
  <si>
    <t>Qs</t>
  </si>
  <si>
    <t>Ql</t>
  </si>
  <si>
    <t>QP</t>
  </si>
  <si>
    <t>Waktu</t>
  </si>
  <si>
    <t>Luas</t>
  </si>
  <si>
    <t>U</t>
  </si>
  <si>
    <t>Qd</t>
  </si>
  <si>
    <t>Atap</t>
  </si>
  <si>
    <t>Lantai</t>
  </si>
  <si>
    <t>Depan</t>
  </si>
  <si>
    <t>Belakang</t>
  </si>
  <si>
    <t>Pintu</t>
  </si>
  <si>
    <t>BEBAN TRANSMISI</t>
  </si>
  <si>
    <t>Sisi</t>
  </si>
  <si>
    <t>Suhu Luar</t>
  </si>
  <si>
    <t>Suhu Dalam</t>
  </si>
  <si>
    <r>
      <rPr>
        <sz val="12"/>
        <color indexed="8"/>
        <rFont val="Times New Roman"/>
        <family val="1"/>
      </rPr>
      <t>m</t>
    </r>
    <r>
      <rPr>
        <sz val="12"/>
        <color indexed="8"/>
        <rFont val="Calibri"/>
        <family val="2"/>
      </rPr>
      <t>²</t>
    </r>
  </si>
  <si>
    <t>Bahan Insulasi</t>
  </si>
  <si>
    <t>W</t>
  </si>
  <si>
    <r>
      <t>W/m</t>
    </r>
    <r>
      <rPr>
        <vertAlign val="superscript"/>
        <sz val="12"/>
        <color indexed="8"/>
        <rFont val="Times New Roman"/>
        <family val="1"/>
      </rPr>
      <t>2</t>
    </r>
    <r>
      <rPr>
        <sz val="12"/>
        <color indexed="8"/>
        <rFont val="Times New Roman"/>
        <family val="1"/>
      </rPr>
      <t>.C</t>
    </r>
  </si>
  <si>
    <t>kW</t>
  </si>
  <si>
    <t>fiber</t>
  </si>
  <si>
    <t>papan</t>
  </si>
  <si>
    <t>busa</t>
  </si>
  <si>
    <t>fi</t>
  </si>
  <si>
    <t>fo</t>
  </si>
  <si>
    <t>1/6,6</t>
  </si>
  <si>
    <t>1/1,66</t>
  </si>
  <si>
    <t>Tebal X</t>
  </si>
  <si>
    <t>Nilai K</t>
  </si>
  <si>
    <t>detik</t>
  </si>
  <si>
    <t>rongga udara</t>
  </si>
  <si>
    <t>panjang (m)</t>
  </si>
  <si>
    <t>lebar (m)</t>
  </si>
  <si>
    <t>tinggi (m)</t>
  </si>
  <si>
    <t>penerangan</t>
  </si>
  <si>
    <t>motor</t>
  </si>
  <si>
    <t>jumlah</t>
  </si>
  <si>
    <t>orang</t>
  </si>
  <si>
    <t>BEBAN INFILTERASI</t>
  </si>
  <si>
    <t>pertukrn udra</t>
  </si>
  <si>
    <t xml:space="preserve">nilai prtkrn udr </t>
  </si>
  <si>
    <t>BEBAN INTERNAL</t>
  </si>
  <si>
    <t>daya (w)</t>
  </si>
  <si>
    <r>
      <t>volume (m</t>
    </r>
    <r>
      <rPr>
        <sz val="12"/>
        <color indexed="8"/>
        <rFont val="Calibri"/>
        <family val="2"/>
      </rPr>
      <t>³</t>
    </r>
    <r>
      <rPr>
        <sz val="12"/>
        <color indexed="8"/>
        <rFont val="Times New Roman"/>
        <family val="1"/>
      </rPr>
      <t>)</t>
    </r>
  </si>
  <si>
    <t xml:space="preserve">suhu freezer °C </t>
  </si>
  <si>
    <t>volume (ft³)</t>
  </si>
  <si>
    <t>qi(W)</t>
  </si>
  <si>
    <t>q (kW)</t>
  </si>
  <si>
    <t>daya (kW)</t>
  </si>
  <si>
    <t>lama operasi (h)</t>
  </si>
  <si>
    <r>
      <t xml:space="preserve">ql </t>
    </r>
    <r>
      <rPr>
        <sz val="12"/>
        <color indexed="8"/>
        <rFont val="Times New Roman"/>
        <family val="1"/>
      </rPr>
      <t>(kW)</t>
    </r>
  </si>
  <si>
    <t>heat gain (w)</t>
  </si>
  <si>
    <t>qm(kW)</t>
  </si>
  <si>
    <t>qo (kW)</t>
  </si>
  <si>
    <t>qo (W)</t>
  </si>
  <si>
    <t>Qnp</t>
  </si>
  <si>
    <t>QnP</t>
  </si>
  <si>
    <t>psi</t>
  </si>
  <si>
    <t>mpa</t>
  </si>
  <si>
    <t>enthalpi</t>
  </si>
  <si>
    <t>t1</t>
  </si>
  <si>
    <r>
      <rPr>
        <sz val="11"/>
        <color indexed="8"/>
        <rFont val="Times New Roman"/>
        <family val="1"/>
      </rPr>
      <t>º</t>
    </r>
    <r>
      <rPr>
        <sz val="11"/>
        <color indexed="8"/>
        <rFont val="Arial"/>
        <family val="2"/>
      </rPr>
      <t>C</t>
    </r>
  </si>
  <si>
    <t>kJ/kg</t>
  </si>
  <si>
    <t>evek ref</t>
  </si>
  <si>
    <t>kg/s</t>
  </si>
  <si>
    <t>ṁ</t>
  </si>
  <si>
    <t>Qref</t>
  </si>
  <si>
    <t>8 Maret 2019</t>
  </si>
  <si>
    <t>9 Maret 2019</t>
  </si>
  <si>
    <t>10 Maret 2019</t>
  </si>
  <si>
    <t>23 Maret 2019</t>
  </si>
  <si>
    <t>24 Maret 2019</t>
  </si>
  <si>
    <t>25 Maret 2019</t>
  </si>
  <si>
    <t>31 Maret 2019</t>
  </si>
  <si>
    <t>8 April 2019</t>
  </si>
  <si>
    <t>10 April 2019</t>
  </si>
  <si>
    <t>11 April 2019</t>
  </si>
  <si>
    <t>26 Maret 2019</t>
  </si>
  <si>
    <t>27 Maret 2019</t>
  </si>
  <si>
    <t>28 Maret 2019</t>
  </si>
  <si>
    <t>2 April 2019</t>
  </si>
  <si>
    <t>13 April 2019</t>
  </si>
  <si>
    <t>14 April 2019</t>
  </si>
  <si>
    <t>16 April 2019</t>
  </si>
  <si>
    <t>T1</t>
  </si>
  <si>
    <t>T2</t>
  </si>
  <si>
    <t>T3</t>
  </si>
  <si>
    <t>KAPASITAS REFRIGERASI</t>
  </si>
  <si>
    <t>KAPASITAS REFRIGERASI SATU KOMPRESOR</t>
  </si>
  <si>
    <t>FREEZER 2</t>
  </si>
  <si>
    <t>Freezer 1</t>
  </si>
  <si>
    <t>3 Maret 2019</t>
  </si>
  <si>
    <t>4 Maret 2019</t>
  </si>
  <si>
    <t>6 Maret 2019</t>
  </si>
  <si>
    <t>7 Maret 2019</t>
  </si>
  <si>
    <t>30 Maret 2019</t>
  </si>
  <si>
    <t>1 April 2019</t>
  </si>
  <si>
    <t>6 April 2019</t>
  </si>
  <si>
    <t>17 April 2019</t>
  </si>
  <si>
    <t>Kapasitas Refrigerasi (kW)</t>
  </si>
  <si>
    <t>FREEZER 1</t>
  </si>
  <si>
    <t>22 Maret 2019</t>
  </si>
  <si>
    <t>Freezer 2</t>
  </si>
  <si>
    <t>ºC</t>
  </si>
  <si>
    <t>15 April 2019</t>
  </si>
  <si>
    <t>KAPASITAS REFRIGERASI DUA KOMPRESOR</t>
  </si>
  <si>
    <t>Frezeer 2</t>
  </si>
  <si>
    <t>Kapasitas Refrigerasi</t>
  </si>
  <si>
    <t>Frezeer 1</t>
  </si>
  <si>
    <t>Tanggal</t>
  </si>
  <si>
    <t>COP</t>
  </si>
  <si>
    <t>Massa Ikan (ton)</t>
  </si>
  <si>
    <t>temperatur ruang</t>
  </si>
  <si>
    <t>Q Total</t>
  </si>
  <si>
    <t>TEKANAN Pengukuran</t>
  </si>
  <si>
    <t>TEKANAN Absolut</t>
  </si>
  <si>
    <t>qi (kW)</t>
  </si>
  <si>
    <t>3 April 2019</t>
  </si>
  <si>
    <t>12 April 2019</t>
  </si>
  <si>
    <t>7 April 2019</t>
  </si>
  <si>
    <t>rata-rata</t>
  </si>
  <si>
    <t>02 April 2019</t>
  </si>
  <si>
    <t>01 April 2019</t>
  </si>
  <si>
    <t>08 April 2019</t>
  </si>
  <si>
    <t>Tf</t>
  </si>
  <si>
    <t>A</t>
  </si>
  <si>
    <t>Kerja Kompresor</t>
  </si>
  <si>
    <t>laju aliran refrigeran</t>
  </si>
  <si>
    <t>daya kompresor</t>
  </si>
  <si>
    <t>w</t>
  </si>
  <si>
    <t>laju aliran</t>
  </si>
  <si>
    <t>Kapasitas refrigerasi</t>
  </si>
  <si>
    <t>Kerja Kompresor (kW)</t>
  </si>
  <si>
    <t>Beban Pendinginan (kW)</t>
  </si>
  <si>
    <t>Beban Pendinginan DUA KOMPRESOR</t>
  </si>
  <si>
    <t>Beban Pendinginan (kw)</t>
  </si>
  <si>
    <t>Beban Pendinginan (Kw)</t>
  </si>
  <si>
    <t>BEBAN PENDINGINAN PRODUK RUANG PEMBEKUAN NO 1</t>
  </si>
  <si>
    <t>BEBAN PENDINGINAN NON PRODUK RUANG PEMBEKUAN NO 1</t>
  </si>
  <si>
    <t>BEBAN PENDINGINAN PRODUK RUANG PEMBEKUAN NO 2</t>
  </si>
  <si>
    <t>BEBAN PENDINGINAN NON PRODUK RUANG PEMBEKUAN NO 2</t>
  </si>
  <si>
    <t>t6</t>
  </si>
  <si>
    <t>t7</t>
  </si>
  <si>
    <t>h6</t>
  </si>
  <si>
    <t>h7</t>
  </si>
  <si>
    <t>h9 +h12+h15</t>
  </si>
  <si>
    <t>T6</t>
  </si>
  <si>
    <t>T7</t>
  </si>
  <si>
    <t>h9+h12+h15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</si>
</sst>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sz val="11"/>
      <color indexed="10"/>
      <name val="Arial"/>
      <family val="2"/>
    </font>
    <font>
      <i/>
      <sz val="11"/>
      <color indexed="23"/>
      <name val="Arial"/>
      <family val="2"/>
    </font>
    <font>
      <b/>
      <sz val="11"/>
      <color indexed="8"/>
      <name val="Arial"/>
      <family val="2"/>
    </font>
    <font>
      <sz val="11"/>
      <color indexed="9"/>
      <name val="Arial"/>
      <family val="2"/>
    </font>
    <font>
      <b/>
      <sz val="12"/>
      <color indexed="8"/>
      <name val="Times New Roman"/>
      <family val="1"/>
    </font>
    <font>
      <b/>
      <i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vertAlign val="superscript"/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sz val="12"/>
      <color indexed="8"/>
      <name val="Calibri"/>
      <family val="2"/>
    </font>
    <font>
      <sz val="11"/>
      <color indexed="8"/>
      <name val="Times New Roman"/>
      <family val="1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b/>
      <sz val="18"/>
      <color rgb="FF1F4A7E"/>
      <name val="Cambria"/>
      <family val="2"/>
    </font>
    <font>
      <b/>
      <sz val="15"/>
      <color rgb="FF1F4A7E"/>
      <name val="Arial"/>
      <family val="2"/>
    </font>
    <font>
      <b/>
      <sz val="13"/>
      <color rgb="FF1F4A7E"/>
      <name val="Arial"/>
      <family val="2"/>
    </font>
    <font>
      <b/>
      <sz val="11"/>
      <color rgb="FF1F4A7E"/>
      <name val="Arial"/>
      <family val="2"/>
    </font>
    <font>
      <b/>
      <sz val="11"/>
      <color rgb="FFFA7D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sz val="11"/>
      <color rgb="FF9C6500"/>
      <name val="Arial"/>
      <family val="2"/>
    </font>
    <font>
      <sz val="11"/>
      <color rgb="FFFA7D00"/>
      <name val="Arial"/>
      <family val="2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DCE5F1"/>
      </patternFill>
    </fill>
    <fill>
      <patternFill patternType="solid">
        <fgColor rgb="FFF2DCDB"/>
      </patternFill>
    </fill>
    <fill>
      <patternFill patternType="solid">
        <fgColor rgb="FFEAF1DD"/>
      </patternFill>
    </fill>
    <fill>
      <patternFill patternType="solid">
        <fgColor rgb="FFE5DFEC"/>
      </patternFill>
    </fill>
    <fill>
      <patternFill patternType="solid">
        <fgColor rgb="FFDBEEF3"/>
      </patternFill>
    </fill>
    <fill>
      <patternFill patternType="solid">
        <fgColor rgb="FFFDE9D9"/>
      </patternFill>
    </fill>
    <fill>
      <patternFill patternType="solid">
        <fgColor rgb="FFB9CCE4"/>
      </patternFill>
    </fill>
    <fill>
      <patternFill patternType="solid">
        <fgColor rgb="FFE6B9B8"/>
      </patternFill>
    </fill>
    <fill>
      <patternFill patternType="solid">
        <fgColor rgb="FFD6E3BC"/>
      </patternFill>
    </fill>
    <fill>
      <patternFill patternType="solid">
        <fgColor rgb="FFCBC0D9"/>
      </patternFill>
    </fill>
    <fill>
      <patternFill patternType="solid">
        <fgColor rgb="FFB7DDE8"/>
      </patternFill>
    </fill>
    <fill>
      <patternFill patternType="solid">
        <fgColor rgb="FFFBD4B4"/>
      </patternFill>
    </fill>
    <fill>
      <patternFill patternType="solid">
        <fgColor rgb="FF96B3D7"/>
      </patternFill>
    </fill>
    <fill>
      <patternFill patternType="solid">
        <fgColor rgb="FFD99694"/>
      </patternFill>
    </fill>
    <fill>
      <patternFill patternType="solid">
        <fgColor rgb="FFC2D69B"/>
      </patternFill>
    </fill>
    <fill>
      <patternFill patternType="solid">
        <fgColor rgb="FFB2A1C6"/>
      </patternFill>
    </fill>
    <fill>
      <patternFill patternType="solid">
        <fgColor rgb="FF94CDDD"/>
      </patternFill>
    </fill>
    <fill>
      <patternFill patternType="solid">
        <fgColor rgb="FFFABF8F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5181BD"/>
      </patternFill>
    </fill>
    <fill>
      <patternFill patternType="solid">
        <fgColor rgb="FFC0514D"/>
      </patternFill>
    </fill>
    <fill>
      <patternFill patternType="solid">
        <fgColor rgb="FF9ABA58"/>
      </patternFill>
    </fill>
    <fill>
      <patternFill patternType="solid">
        <fgColor rgb="FF7E62A1"/>
      </patternFill>
    </fill>
    <fill>
      <patternFill patternType="solid">
        <fgColor rgb="FF4CACC6"/>
      </patternFill>
    </fill>
    <fill>
      <patternFill patternType="solid">
        <fgColor rgb="FFF7954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6B3D7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15" fillId="23" borderId="0" applyNumberFormat="0" applyBorder="0" applyAlignment="0" applyProtection="0"/>
    <xf numFmtId="0" fontId="1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" fillId="22" borderId="2" applyNumberFormat="0" applyAlignment="0" applyProtection="0"/>
    <xf numFmtId="0" fontId="5" fillId="0" borderId="9" applyNumberFormat="0" applyFill="0" applyAlignment="0" applyProtection="0"/>
    <xf numFmtId="0" fontId="1" fillId="26" borderId="4" applyNumberFormat="0" applyFont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1" fillId="21" borderId="1" applyNumberFormat="0" applyAlignment="0" applyProtection="0"/>
    <xf numFmtId="0" fontId="22" fillId="24" borderId="1" applyNumberFormat="0" applyAlignment="0" applyProtection="0"/>
    <xf numFmtId="0" fontId="23" fillId="21" borderId="5" applyNumberFormat="0" applyAlignment="0" applyProtection="0"/>
    <xf numFmtId="0" fontId="24" fillId="25" borderId="0" applyNumberFormat="0" applyBorder="0" applyAlignment="0" applyProtection="0"/>
    <xf numFmtId="0" fontId="25" fillId="0" borderId="3" applyNumberFormat="0" applyFill="0" applyAlignment="0" applyProtection="0"/>
  </cellStyleXfs>
  <cellXfs count="201">
    <xf numFmtId="0" fontId="0" fillId="0" borderId="0" xfId="0"/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center"/>
    </xf>
    <xf numFmtId="0" fontId="9" fillId="0" borderId="0" xfId="0" applyFont="1"/>
    <xf numFmtId="0" fontId="9" fillId="0" borderId="0" xfId="0" applyFont="1" applyAlignment="1"/>
    <xf numFmtId="14" fontId="9" fillId="0" borderId="0" xfId="0" applyNumberFormat="1" applyFont="1" applyAlignment="1">
      <alignment horizontal="center" vertical="center"/>
    </xf>
    <xf numFmtId="2" fontId="9" fillId="0" borderId="0" xfId="0" applyNumberFormat="1" applyFont="1"/>
    <xf numFmtId="0" fontId="14" fillId="0" borderId="0" xfId="0" applyFont="1" applyAlignment="1">
      <alignment horizontal="center"/>
    </xf>
    <xf numFmtId="2" fontId="0" fillId="0" borderId="0" xfId="0" applyNumberFormat="1"/>
    <xf numFmtId="0" fontId="14" fillId="0" borderId="0" xfId="0" applyFont="1"/>
    <xf numFmtId="2" fontId="14" fillId="0" borderId="0" xfId="0" applyNumberFormat="1" applyFont="1"/>
    <xf numFmtId="0" fontId="0" fillId="0" borderId="0" xfId="0" applyAlignment="1"/>
    <xf numFmtId="0" fontId="0" fillId="0" borderId="0" xfId="0" applyAlignment="1">
      <alignment horizontal="center" vertical="center"/>
    </xf>
    <xf numFmtId="2" fontId="9" fillId="0" borderId="0" xfId="0" applyNumberFormat="1" applyFont="1" applyAlignment="1">
      <alignment vertical="center"/>
    </xf>
    <xf numFmtId="2" fontId="9" fillId="0" borderId="0" xfId="0" applyNumberFormat="1" applyFont="1" applyFill="1"/>
    <xf numFmtId="2" fontId="9" fillId="0" borderId="0" xfId="0" applyNumberFormat="1" applyFont="1" applyFill="1" applyAlignment="1">
      <alignment vertical="center"/>
    </xf>
    <xf numFmtId="0" fontId="9" fillId="0" borderId="0" xfId="0" applyFont="1" applyFill="1"/>
    <xf numFmtId="2" fontId="0" fillId="0" borderId="0" xfId="0" applyNumberFormat="1" applyFill="1"/>
    <xf numFmtId="2" fontId="14" fillId="0" borderId="0" xfId="0" applyNumberFormat="1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4" fontId="9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2" fontId="10" fillId="0" borderId="0" xfId="0" applyNumberFormat="1" applyFont="1" applyFill="1" applyAlignment="1">
      <alignment vertical="center"/>
    </xf>
    <xf numFmtId="2" fontId="9" fillId="0" borderId="0" xfId="0" applyNumberFormat="1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/>
    </xf>
    <xf numFmtId="0" fontId="9" fillId="0" borderId="0" xfId="0" applyFont="1" applyFill="1" applyAlignment="1"/>
    <xf numFmtId="2" fontId="10" fillId="0" borderId="0" xfId="0" applyNumberFormat="1" applyFont="1"/>
    <xf numFmtId="2" fontId="10" fillId="0" borderId="0" xfId="0" applyNumberFormat="1" applyFont="1" applyFill="1"/>
    <xf numFmtId="0" fontId="10" fillId="0" borderId="0" xfId="0" applyFont="1"/>
    <xf numFmtId="0" fontId="10" fillId="0" borderId="0" xfId="0" applyFont="1" applyFill="1"/>
    <xf numFmtId="0" fontId="7" fillId="0" borderId="0" xfId="0" applyFont="1" applyFill="1"/>
    <xf numFmtId="0" fontId="26" fillId="0" borderId="0" xfId="0" applyFont="1" applyFill="1"/>
    <xf numFmtId="2" fontId="7" fillId="0" borderId="0" xfId="0" applyNumberFormat="1" applyFont="1" applyAlignment="1">
      <alignment vertical="center"/>
    </xf>
    <xf numFmtId="2" fontId="10" fillId="0" borderId="0" xfId="0" quotePrefix="1" applyNumberFormat="1" applyFont="1" applyFill="1" applyAlignment="1">
      <alignment horizontal="center" vertical="center"/>
    </xf>
    <xf numFmtId="2" fontId="7" fillId="0" borderId="0" xfId="0" applyNumberFormat="1" applyFont="1"/>
    <xf numFmtId="2" fontId="9" fillId="0" borderId="0" xfId="0" applyNumberFormat="1" applyFont="1" applyAlignment="1"/>
    <xf numFmtId="0" fontId="26" fillId="0" borderId="0" xfId="0" applyFont="1" applyFill="1" applyAlignment="1">
      <alignment horizontal="center"/>
    </xf>
    <xf numFmtId="0" fontId="9" fillId="0" borderId="0" xfId="0" quotePrefix="1" applyFont="1"/>
    <xf numFmtId="0" fontId="9" fillId="0" borderId="0" xfId="0" quotePrefix="1" applyFont="1" applyFill="1"/>
    <xf numFmtId="2" fontId="9" fillId="0" borderId="0" xfId="0" quotePrefix="1" applyNumberFormat="1" applyFont="1" applyFill="1" applyAlignment="1">
      <alignment horizontal="left" vertical="center"/>
    </xf>
    <xf numFmtId="2" fontId="9" fillId="0" borderId="0" xfId="0" applyNumberFormat="1" applyFont="1" applyAlignment="1">
      <alignment horizontal="left"/>
    </xf>
    <xf numFmtId="2" fontId="9" fillId="0" borderId="0" xfId="0" applyNumberFormat="1" applyFont="1" applyAlignment="1">
      <alignment horizontal="left" vertical="center"/>
    </xf>
    <xf numFmtId="2" fontId="9" fillId="0" borderId="0" xfId="0" applyNumberFormat="1" applyFont="1" applyFill="1" applyAlignment="1">
      <alignment vertical="center"/>
    </xf>
    <xf numFmtId="2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horizontal="left" vertical="center"/>
    </xf>
    <xf numFmtId="2" fontId="7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vertical="center"/>
    </xf>
    <xf numFmtId="2" fontId="9" fillId="0" borderId="10" xfId="0" applyNumberFormat="1" applyFont="1" applyFill="1" applyBorder="1" applyAlignment="1">
      <alignment vertical="center"/>
    </xf>
    <xf numFmtId="0" fontId="9" fillId="0" borderId="10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right" vertical="center"/>
    </xf>
    <xf numFmtId="0" fontId="11" fillId="0" borderId="10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15" fontId="9" fillId="0" borderId="10" xfId="0" applyNumberFormat="1" applyFont="1" applyFill="1" applyBorder="1" applyAlignment="1">
      <alignment vertical="center"/>
    </xf>
    <xf numFmtId="2" fontId="9" fillId="0" borderId="0" xfId="0" applyNumberFormat="1" applyFont="1" applyFill="1" applyBorder="1" applyAlignment="1">
      <alignment vertical="center"/>
    </xf>
    <xf numFmtId="0" fontId="12" fillId="0" borderId="10" xfId="0" applyFont="1" applyFill="1" applyBorder="1" applyAlignment="1">
      <alignment vertical="center"/>
    </xf>
    <xf numFmtId="0" fontId="9" fillId="0" borderId="10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2" fontId="7" fillId="0" borderId="0" xfId="0" applyNumberFormat="1" applyFont="1" applyAlignment="1">
      <alignment horizontal="left" vertical="center"/>
    </xf>
    <xf numFmtId="2" fontId="7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/>
    </xf>
    <xf numFmtId="15" fontId="9" fillId="33" borderId="10" xfId="0" applyNumberFormat="1" applyFont="1" applyFill="1" applyBorder="1" applyAlignment="1">
      <alignment vertical="center"/>
    </xf>
    <xf numFmtId="0" fontId="9" fillId="0" borderId="10" xfId="0" applyFont="1" applyFill="1" applyBorder="1" applyAlignment="1">
      <alignment horizontal="center" vertical="center"/>
    </xf>
    <xf numFmtId="2" fontId="9" fillId="0" borderId="10" xfId="0" applyNumberFormat="1" applyFont="1" applyFill="1" applyBorder="1" applyAlignment="1">
      <alignment vertical="center"/>
    </xf>
    <xf numFmtId="0" fontId="7" fillId="0" borderId="1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vertical="center"/>
    </xf>
    <xf numFmtId="2" fontId="9" fillId="0" borderId="10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10" xfId="0" applyBorder="1"/>
    <xf numFmtId="0" fontId="14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2" fontId="7" fillId="0" borderId="10" xfId="0" applyNumberFormat="1" applyFont="1" applyFill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2" fontId="0" fillId="0" borderId="10" xfId="0" applyNumberFormat="1" applyBorder="1"/>
    <xf numFmtId="2" fontId="0" fillId="0" borderId="10" xfId="0" applyNumberFormat="1" applyBorder="1" applyAlignment="1">
      <alignment horizontal="center" vertical="center"/>
    </xf>
    <xf numFmtId="20" fontId="9" fillId="0" borderId="10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0" fontId="9" fillId="0" borderId="10" xfId="0" applyFont="1" applyBorder="1" applyAlignment="1"/>
    <xf numFmtId="20" fontId="0" fillId="0" borderId="10" xfId="0" applyNumberFormat="1" applyBorder="1" applyAlignment="1">
      <alignment horizontal="center"/>
    </xf>
    <xf numFmtId="0" fontId="0" fillId="0" borderId="10" xfId="0" applyBorder="1" applyAlignment="1"/>
    <xf numFmtId="0" fontId="0" fillId="0" borderId="10" xfId="0" applyBorder="1" applyAlignment="1">
      <alignment vertical="center"/>
    </xf>
    <xf numFmtId="20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/>
    </xf>
    <xf numFmtId="2" fontId="0" fillId="0" borderId="10" xfId="0" applyNumberFormat="1" applyFill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14" fillId="0" borderId="10" xfId="0" applyFont="1" applyBorder="1" applyAlignment="1">
      <alignment horizontal="center"/>
    </xf>
    <xf numFmtId="14" fontId="9" fillId="0" borderId="10" xfId="0" applyNumberFormat="1" applyFont="1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2" fontId="7" fillId="0" borderId="10" xfId="0" applyNumberFormat="1" applyFont="1" applyFill="1" applyBorder="1" applyAlignment="1">
      <alignment vertical="center"/>
    </xf>
    <xf numFmtId="2" fontId="7" fillId="0" borderId="10" xfId="0" applyNumberFormat="1" applyFont="1" applyBorder="1" applyAlignment="1">
      <alignment vertical="center"/>
    </xf>
    <xf numFmtId="0" fontId="5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9" fillId="0" borderId="10" xfId="0" applyFont="1" applyFill="1" applyBorder="1"/>
    <xf numFmtId="0" fontId="7" fillId="0" borderId="10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/>
    </xf>
    <xf numFmtId="2" fontId="9" fillId="0" borderId="10" xfId="0" applyNumberFormat="1" applyFont="1" applyFill="1" applyBorder="1" applyAlignment="1">
      <alignment horizontal="center"/>
    </xf>
    <xf numFmtId="14" fontId="9" fillId="0" borderId="10" xfId="0" quotePrefix="1" applyNumberFormat="1" applyFont="1" applyFill="1" applyBorder="1" applyAlignment="1">
      <alignment horizontal="center" vertical="center"/>
    </xf>
    <xf numFmtId="0" fontId="9" fillId="0" borderId="10" xfId="0" applyFont="1" applyFill="1" applyBorder="1" applyAlignment="1"/>
    <xf numFmtId="2" fontId="9" fillId="0" borderId="10" xfId="0" applyNumberFormat="1" applyFont="1" applyFill="1" applyBorder="1"/>
    <xf numFmtId="14" fontId="9" fillId="0" borderId="10" xfId="0" quotePrefix="1" applyNumberFormat="1" applyFont="1" applyBorder="1" applyAlignment="1">
      <alignment horizontal="center" vertical="center"/>
    </xf>
    <xf numFmtId="0" fontId="9" fillId="0" borderId="10" xfId="0" applyFont="1" applyBorder="1"/>
    <xf numFmtId="2" fontId="9" fillId="0" borderId="10" xfId="0" applyNumberFormat="1" applyFont="1" applyBorder="1"/>
    <xf numFmtId="14" fontId="10" fillId="0" borderId="10" xfId="0" quotePrefix="1" applyNumberFormat="1" applyFont="1" applyFill="1" applyBorder="1" applyAlignment="1">
      <alignment horizontal="center" vertical="center"/>
    </xf>
    <xf numFmtId="0" fontId="10" fillId="0" borderId="10" xfId="0" applyFont="1" applyFill="1" applyBorder="1"/>
    <xf numFmtId="2" fontId="10" fillId="0" borderId="10" xfId="0" applyNumberFormat="1" applyFont="1" applyFill="1" applyBorder="1" applyAlignment="1">
      <alignment vertical="center"/>
    </xf>
    <xf numFmtId="0" fontId="10" fillId="0" borderId="10" xfId="0" applyFont="1" applyFill="1" applyBorder="1" applyAlignment="1"/>
    <xf numFmtId="0" fontId="10" fillId="0" borderId="10" xfId="0" applyFont="1" applyFill="1" applyBorder="1" applyAlignment="1">
      <alignment vertical="center"/>
    </xf>
    <xf numFmtId="2" fontId="10" fillId="0" borderId="10" xfId="0" applyNumberFormat="1" applyFont="1" applyFill="1" applyBorder="1"/>
    <xf numFmtId="0" fontId="7" fillId="0" borderId="17" xfId="0" applyFont="1" applyFill="1" applyBorder="1" applyAlignment="1">
      <alignment vertical="center"/>
    </xf>
    <xf numFmtId="0" fontId="7" fillId="0" borderId="18" xfId="0" applyFont="1" applyFill="1" applyBorder="1" applyAlignment="1">
      <alignment vertical="center"/>
    </xf>
    <xf numFmtId="0" fontId="10" fillId="0" borderId="10" xfId="0" applyFont="1" applyBorder="1"/>
    <xf numFmtId="0" fontId="10" fillId="0" borderId="10" xfId="0" applyFont="1" applyBorder="1" applyAlignment="1"/>
    <xf numFmtId="0" fontId="10" fillId="0" borderId="10" xfId="0" applyFont="1" applyBorder="1" applyAlignment="1">
      <alignment vertical="center"/>
    </xf>
    <xf numFmtId="2" fontId="10" fillId="0" borderId="10" xfId="0" applyNumberFormat="1" applyFont="1" applyBorder="1"/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2" fontId="9" fillId="0" borderId="10" xfId="0" applyNumberFormat="1" applyFont="1" applyBorder="1" applyAlignment="1">
      <alignment horizontal="center" vertical="center"/>
    </xf>
    <xf numFmtId="2" fontId="0" fillId="0" borderId="10" xfId="0" applyNumberFormat="1" applyBorder="1" applyAlignment="1">
      <alignment vertical="center"/>
    </xf>
    <xf numFmtId="2" fontId="7" fillId="0" borderId="10" xfId="0" applyNumberFormat="1" applyFont="1" applyBorder="1" applyAlignment="1">
      <alignment horizontal="center"/>
    </xf>
    <xf numFmtId="2" fontId="9" fillId="0" borderId="10" xfId="0" quotePrefix="1" applyNumberFormat="1" applyFont="1" applyFill="1" applyBorder="1" applyAlignment="1">
      <alignment horizontal="left" vertical="center"/>
    </xf>
    <xf numFmtId="2" fontId="10" fillId="0" borderId="10" xfId="0" quotePrefix="1" applyNumberFormat="1" applyFont="1" applyFill="1" applyBorder="1" applyAlignment="1">
      <alignment horizontal="left" vertical="center"/>
    </xf>
    <xf numFmtId="2" fontId="9" fillId="0" borderId="10" xfId="0" applyNumberFormat="1" applyFont="1" applyBorder="1" applyAlignment="1">
      <alignment horizontal="center"/>
    </xf>
    <xf numFmtId="2" fontId="10" fillId="0" borderId="10" xfId="0" applyNumberFormat="1" applyFont="1" applyFill="1" applyBorder="1" applyAlignment="1">
      <alignment horizontal="center"/>
    </xf>
    <xf numFmtId="2" fontId="10" fillId="0" borderId="10" xfId="0" applyNumberFormat="1" applyFont="1" applyBorder="1" applyAlignment="1">
      <alignment horizontal="center"/>
    </xf>
    <xf numFmtId="2" fontId="9" fillId="0" borderId="10" xfId="0" quotePrefix="1" applyNumberFormat="1" applyFont="1" applyBorder="1" applyAlignment="1">
      <alignment horizontal="left" vertical="center"/>
    </xf>
    <xf numFmtId="2" fontId="9" fillId="0" borderId="10" xfId="0" applyNumberFormat="1" applyFont="1" applyBorder="1" applyAlignment="1">
      <alignment horizontal="left" vertical="center"/>
    </xf>
    <xf numFmtId="2" fontId="9" fillId="0" borderId="10" xfId="0" quotePrefix="1" applyNumberFormat="1" applyFont="1" applyFill="1" applyBorder="1" applyAlignment="1">
      <alignment horizontal="center" vertical="center"/>
    </xf>
    <xf numFmtId="2" fontId="10" fillId="0" borderId="10" xfId="0" quotePrefix="1" applyNumberFormat="1" applyFont="1" applyFill="1" applyBorder="1" applyAlignment="1">
      <alignment horizontal="center" vertical="center"/>
    </xf>
    <xf numFmtId="0" fontId="9" fillId="0" borderId="10" xfId="0" quotePrefix="1" applyFont="1" applyFill="1" applyBorder="1" applyAlignment="1">
      <alignment horizontal="center" vertical="center"/>
    </xf>
    <xf numFmtId="2" fontId="9" fillId="0" borderId="10" xfId="0" applyNumberFormat="1" applyFont="1" applyBorder="1" applyAlignment="1">
      <alignment vertical="center"/>
    </xf>
    <xf numFmtId="2" fontId="9" fillId="0" borderId="10" xfId="0" quotePrefix="1" applyNumberFormat="1" applyFont="1" applyBorder="1" applyAlignment="1">
      <alignment horizontal="center" vertical="center"/>
    </xf>
    <xf numFmtId="0" fontId="27" fillId="0" borderId="10" xfId="0" applyFont="1" applyBorder="1" applyAlignment="1">
      <alignment horizontal="right" vertical="center"/>
    </xf>
    <xf numFmtId="2" fontId="14" fillId="0" borderId="10" xfId="0" applyNumberFormat="1" applyFont="1" applyBorder="1"/>
    <xf numFmtId="2" fontId="27" fillId="0" borderId="10" xfId="0" applyNumberFormat="1" applyFont="1" applyBorder="1" applyAlignment="1">
      <alignment horizontal="right" vertical="center"/>
    </xf>
    <xf numFmtId="0" fontId="9" fillId="0" borderId="10" xfId="0" applyFont="1" applyFill="1" applyBorder="1" applyAlignment="1">
      <alignment horizontal="center" vertical="center"/>
    </xf>
    <xf numFmtId="2" fontId="9" fillId="0" borderId="10" xfId="0" applyNumberFormat="1" applyFont="1" applyFill="1" applyBorder="1" applyAlignment="1">
      <alignment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vertical="center"/>
    </xf>
    <xf numFmtId="2" fontId="9" fillId="0" borderId="10" xfId="0" applyNumberFormat="1" applyFont="1" applyFill="1" applyBorder="1" applyAlignment="1">
      <alignment horizontal="center" vertical="center"/>
    </xf>
    <xf numFmtId="2" fontId="9" fillId="0" borderId="11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14" fontId="9" fillId="0" borderId="10" xfId="0" applyNumberFormat="1" applyFont="1" applyBorder="1" applyAlignment="1">
      <alignment horizontal="center" vertical="center"/>
    </xf>
    <xf numFmtId="20" fontId="0" fillId="0" borderId="10" xfId="0" applyNumberForma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7" fillId="0" borderId="17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2" fontId="9" fillId="0" borderId="17" xfId="0" applyNumberFormat="1" applyFont="1" applyFill="1" applyBorder="1" applyAlignment="1">
      <alignment horizontal="center" vertical="center"/>
    </xf>
    <xf numFmtId="2" fontId="9" fillId="0" borderId="19" xfId="0" applyNumberFormat="1" applyFont="1" applyFill="1" applyBorder="1" applyAlignment="1">
      <alignment horizontal="center" vertical="center"/>
    </xf>
    <xf numFmtId="2" fontId="9" fillId="0" borderId="18" xfId="0" applyNumberFormat="1" applyFont="1" applyFill="1" applyBorder="1" applyAlignment="1">
      <alignment horizontal="center" vertical="center"/>
    </xf>
    <xf numFmtId="2" fontId="9" fillId="0" borderId="10" xfId="0" applyNumberFormat="1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14" fontId="9" fillId="0" borderId="1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left" vertical="center"/>
    </xf>
    <xf numFmtId="2" fontId="7" fillId="0" borderId="0" xfId="0" applyNumberFormat="1" applyFont="1" applyFill="1" applyAlignment="1">
      <alignment horizontal="center" vertical="center"/>
    </xf>
    <xf numFmtId="2" fontId="7" fillId="0" borderId="10" xfId="0" applyNumberFormat="1" applyFont="1" applyBorder="1" applyAlignment="1">
      <alignment horizontal="center"/>
    </xf>
  </cellXfs>
  <cellStyles count="42">
    <cellStyle name="20% - 强调文字颜色 1" xfId="1"/>
    <cellStyle name="20% - 强调文字颜色 2" xfId="2"/>
    <cellStyle name="20% - 强调文字颜色 3" xfId="3"/>
    <cellStyle name="20% - 强调文字颜色 4" xfId="4"/>
    <cellStyle name="20% - 强调文字颜色 5" xfId="5"/>
    <cellStyle name="20% - 强调文字颜色 6" xfId="6"/>
    <cellStyle name="40% - 强调文字颜色 1" xfId="7"/>
    <cellStyle name="40% - 强调文字颜色 2" xfId="8"/>
    <cellStyle name="40% - 强调文字颜色 3" xfId="9"/>
    <cellStyle name="40% - 强调文字颜色 4" xfId="10"/>
    <cellStyle name="40% - 强调文字颜色 5" xfId="11"/>
    <cellStyle name="40% - 强调文字颜色 6" xfId="12"/>
    <cellStyle name="60% - 强调文字颜色 1" xfId="13"/>
    <cellStyle name="60% - 强调文字颜色 2" xfId="14"/>
    <cellStyle name="60% - 强调文字颜色 3" xfId="15"/>
    <cellStyle name="60% - 强调文字颜色 4" xfId="16"/>
    <cellStyle name="60% - 强调文字颜色 5" xfId="17"/>
    <cellStyle name="60% - 强调文字颜色 6" xfId="18"/>
    <cellStyle name="Normal" xfId="0" builtinId="0"/>
    <cellStyle name="好" xfId="19"/>
    <cellStyle name="差" xfId="20"/>
    <cellStyle name="强调文字颜色 1" xfId="21"/>
    <cellStyle name="强调文字颜色 2" xfId="22"/>
    <cellStyle name="强调文字颜色 3" xfId="23"/>
    <cellStyle name="强调文字颜色 4" xfId="24"/>
    <cellStyle name="强调文字颜色 5" xfId="25"/>
    <cellStyle name="强调文字颜色 6" xfId="26"/>
    <cellStyle name="标题" xfId="27"/>
    <cellStyle name="标题 1" xfId="28"/>
    <cellStyle name="标题 2" xfId="29"/>
    <cellStyle name="标题 3" xfId="30"/>
    <cellStyle name="标题 4" xfId="31"/>
    <cellStyle name="检查单元格" xfId="32"/>
    <cellStyle name="汇总" xfId="33"/>
    <cellStyle name="注释" xfId="34"/>
    <cellStyle name="解释性文本" xfId="35"/>
    <cellStyle name="警告文本" xfId="36"/>
    <cellStyle name="计算" xfId="37"/>
    <cellStyle name="输入" xfId="38"/>
    <cellStyle name="输出" xfId="39"/>
    <cellStyle name="适中" xfId="40"/>
    <cellStyle name="链接单元格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551071305458502"/>
          <c:y val="5.0925925925925923E-2"/>
          <c:w val="0.69543093625501695"/>
          <c:h val="0.618888888888888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'Pengolahan data'!$Q$4</c:f>
              <c:strCache>
                <c:ptCount val="1"/>
                <c:pt idx="0">
                  <c:v>Massa Ikan (ton)</c:v>
                </c:pt>
              </c:strCache>
            </c:strRef>
          </c:tx>
          <c:invertIfNegative val="0"/>
          <c:cat>
            <c:strRef>
              <c:f>'Pengolahan data'!$P$5:$P$12</c:f>
              <c:strCache>
                <c:ptCount val="8"/>
                <c:pt idx="0">
                  <c:v>9 Maret 2019</c:v>
                </c:pt>
                <c:pt idx="1">
                  <c:v>22 Maret 2019</c:v>
                </c:pt>
                <c:pt idx="2">
                  <c:v>23 Maret 2019</c:v>
                </c:pt>
                <c:pt idx="3">
                  <c:v>24 Maret 2019</c:v>
                </c:pt>
                <c:pt idx="4">
                  <c:v>31 Maret 2019</c:v>
                </c:pt>
                <c:pt idx="5">
                  <c:v>1 April 2019</c:v>
                </c:pt>
                <c:pt idx="6">
                  <c:v>8 April 2019</c:v>
                </c:pt>
                <c:pt idx="7">
                  <c:v>10 April 2019</c:v>
                </c:pt>
              </c:strCache>
            </c:strRef>
          </c:cat>
          <c:val>
            <c:numRef>
              <c:f>'Pengolahan data'!$Q$5:$Q$12</c:f>
              <c:numCache>
                <c:formatCode>0.00</c:formatCode>
                <c:ptCount val="8"/>
                <c:pt idx="0">
                  <c:v>0.76800000000000002</c:v>
                </c:pt>
                <c:pt idx="1">
                  <c:v>0.13800000000000001</c:v>
                </c:pt>
                <c:pt idx="2">
                  <c:v>1.3049999999999999</c:v>
                </c:pt>
                <c:pt idx="3">
                  <c:v>1.006</c:v>
                </c:pt>
                <c:pt idx="4">
                  <c:v>1.395</c:v>
                </c:pt>
                <c:pt idx="5">
                  <c:v>2.3079999999999998</c:v>
                </c:pt>
                <c:pt idx="6">
                  <c:v>0.98399999999999999</c:v>
                </c:pt>
                <c:pt idx="7">
                  <c:v>3.5760000000000001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101760"/>
        <c:axId val="140255232"/>
      </c:barChart>
      <c:lineChart>
        <c:grouping val="standard"/>
        <c:varyColors val="0"/>
        <c:ser>
          <c:idx val="1"/>
          <c:order val="1"/>
          <c:tx>
            <c:strRef>
              <c:f>'Pengolahan data'!$R$4</c:f>
              <c:strCache>
                <c:ptCount val="1"/>
                <c:pt idx="0">
                  <c:v>Beban Pendinginan (kW)</c:v>
                </c:pt>
              </c:strCache>
            </c:strRef>
          </c:tx>
          <c:cat>
            <c:strRef>
              <c:f>'Pengolahan data'!$P$5:$P$12</c:f>
              <c:strCache>
                <c:ptCount val="8"/>
                <c:pt idx="0">
                  <c:v>9 Maret 2019</c:v>
                </c:pt>
                <c:pt idx="1">
                  <c:v>22 Maret 2019</c:v>
                </c:pt>
                <c:pt idx="2">
                  <c:v>23 Maret 2019</c:v>
                </c:pt>
                <c:pt idx="3">
                  <c:v>24 Maret 2019</c:v>
                </c:pt>
                <c:pt idx="4">
                  <c:v>31 Maret 2019</c:v>
                </c:pt>
                <c:pt idx="5">
                  <c:v>1 April 2019</c:v>
                </c:pt>
                <c:pt idx="6">
                  <c:v>8 April 2019</c:v>
                </c:pt>
                <c:pt idx="7">
                  <c:v>10 April 2019</c:v>
                </c:pt>
              </c:strCache>
            </c:strRef>
          </c:cat>
          <c:val>
            <c:numRef>
              <c:f>'Pengolahan data'!$R$5:$R$12</c:f>
              <c:numCache>
                <c:formatCode>0.00</c:formatCode>
                <c:ptCount val="8"/>
                <c:pt idx="0">
                  <c:v>11.71</c:v>
                </c:pt>
                <c:pt idx="1">
                  <c:v>6.4</c:v>
                </c:pt>
                <c:pt idx="2">
                  <c:v>16.25</c:v>
                </c:pt>
                <c:pt idx="3">
                  <c:v>13.64</c:v>
                </c:pt>
                <c:pt idx="4">
                  <c:v>17.010000000000002</c:v>
                </c:pt>
                <c:pt idx="5">
                  <c:v>24.73</c:v>
                </c:pt>
                <c:pt idx="6">
                  <c:v>13.54</c:v>
                </c:pt>
                <c:pt idx="7">
                  <c:v>35.450000000000003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102272"/>
        <c:axId val="140255808"/>
      </c:lineChart>
      <c:catAx>
        <c:axId val="202101760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txPr>
          <a:bodyPr rot="-2700000"/>
          <a:lstStyle/>
          <a:p>
            <a:pPr>
              <a:defRPr/>
            </a:pPr>
            <a:endParaRPr lang="id-ID"/>
          </a:p>
        </c:txPr>
        <c:crossAx val="140255232"/>
        <c:crosses val="autoZero"/>
        <c:auto val="1"/>
        <c:lblAlgn val="ctr"/>
        <c:lblOffset val="100"/>
        <c:noMultiLvlLbl val="0"/>
      </c:catAx>
      <c:valAx>
        <c:axId val="140255232"/>
        <c:scaling>
          <c:orientation val="minMax"/>
          <c:max val="8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id-ID"/>
                  <a:t>Massa</a:t>
                </a:r>
                <a:r>
                  <a:rPr lang="id-ID" baseline="0"/>
                  <a:t> Ikan (ton)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5.4209913481042107E-2"/>
              <c:y val="0.17447887975005946"/>
            </c:manualLayout>
          </c:layout>
          <c:overlay val="0"/>
        </c:title>
        <c:numFmt formatCode="0.0" sourceLinked="0"/>
        <c:majorTickMark val="in"/>
        <c:minorTickMark val="none"/>
        <c:tickLblPos val="nextTo"/>
        <c:crossAx val="202101760"/>
        <c:crosses val="autoZero"/>
        <c:crossBetween val="between"/>
      </c:valAx>
      <c:catAx>
        <c:axId val="202102272"/>
        <c:scaling>
          <c:orientation val="minMax"/>
        </c:scaling>
        <c:delete val="1"/>
        <c:axPos val="b"/>
        <c:majorTickMark val="out"/>
        <c:minorTickMark val="none"/>
        <c:tickLblPos val="nextTo"/>
        <c:crossAx val="140255808"/>
        <c:crosses val="autoZero"/>
        <c:auto val="1"/>
        <c:lblAlgn val="ctr"/>
        <c:lblOffset val="100"/>
        <c:noMultiLvlLbl val="0"/>
      </c:catAx>
      <c:valAx>
        <c:axId val="140255808"/>
        <c:scaling>
          <c:orientation val="minMax"/>
          <c:max val="80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id-ID"/>
                  <a:t>Beban</a:t>
                </a:r>
                <a:r>
                  <a:rPr lang="id-ID" baseline="0"/>
                  <a:t> Kalor (kW)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90088394392192761"/>
              <c:y val="0.15922745359072668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crossAx val="202102272"/>
        <c:crosses val="max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57061237061196202"/>
          <c:y val="6.4942408134381291E-2"/>
          <c:w val="0.25008429112510588"/>
          <c:h val="0.14796332744284763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98379637578999"/>
          <c:y val="5.0926026608940911E-2"/>
          <c:w val="0.74911150475967814"/>
          <c:h val="0.667103382910469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'Pengolahan data'!$Q$17</c:f>
              <c:strCache>
                <c:ptCount val="1"/>
                <c:pt idx="0">
                  <c:v>Massa Ikan (ton)</c:v>
                </c:pt>
              </c:strCache>
            </c:strRef>
          </c:tx>
          <c:invertIfNegative val="0"/>
          <c:cat>
            <c:strRef>
              <c:f>'Pengolahan data'!$P$18:$P$31</c:f>
              <c:strCache>
                <c:ptCount val="14"/>
                <c:pt idx="0">
                  <c:v>3 Maret 2019</c:v>
                </c:pt>
                <c:pt idx="1">
                  <c:v>4 Maret 2019</c:v>
                </c:pt>
                <c:pt idx="2">
                  <c:v>6 Maret 2019</c:v>
                </c:pt>
                <c:pt idx="3">
                  <c:v>7 Maret 2019</c:v>
                </c:pt>
                <c:pt idx="4">
                  <c:v>28 Maret 2019</c:v>
                </c:pt>
                <c:pt idx="5">
                  <c:v>30 Maret 2019</c:v>
                </c:pt>
                <c:pt idx="6">
                  <c:v>3 April 2019</c:v>
                </c:pt>
                <c:pt idx="7">
                  <c:v>6 April 2019</c:v>
                </c:pt>
                <c:pt idx="8">
                  <c:v>7 April 2019</c:v>
                </c:pt>
                <c:pt idx="9">
                  <c:v>12 April 2019</c:v>
                </c:pt>
                <c:pt idx="10">
                  <c:v>14 April 2019</c:v>
                </c:pt>
                <c:pt idx="11">
                  <c:v>15 April 2019</c:v>
                </c:pt>
                <c:pt idx="12">
                  <c:v>16 April 2019</c:v>
                </c:pt>
                <c:pt idx="13">
                  <c:v>17 April 2019</c:v>
                </c:pt>
              </c:strCache>
            </c:strRef>
          </c:cat>
          <c:val>
            <c:numRef>
              <c:f>'Pengolahan data'!$Q$18:$Q$31</c:f>
              <c:numCache>
                <c:formatCode>0.00</c:formatCode>
                <c:ptCount val="14"/>
                <c:pt idx="0">
                  <c:v>0.14199999999999999</c:v>
                </c:pt>
                <c:pt idx="1">
                  <c:v>1.1140000000000001</c:v>
                </c:pt>
                <c:pt idx="2">
                  <c:v>1.0720000000000001</c:v>
                </c:pt>
                <c:pt idx="3">
                  <c:v>2.1509999999999998</c:v>
                </c:pt>
                <c:pt idx="4">
                  <c:v>0.81100000000000005</c:v>
                </c:pt>
                <c:pt idx="5">
                  <c:v>0.33400000000000002</c:v>
                </c:pt>
                <c:pt idx="6" formatCode="General">
                  <c:v>0.36</c:v>
                </c:pt>
                <c:pt idx="7">
                  <c:v>1.714</c:v>
                </c:pt>
                <c:pt idx="8" formatCode="General">
                  <c:v>2.105</c:v>
                </c:pt>
                <c:pt idx="9" formatCode="General">
                  <c:v>1.627</c:v>
                </c:pt>
                <c:pt idx="10">
                  <c:v>0.746</c:v>
                </c:pt>
                <c:pt idx="11">
                  <c:v>0.316</c:v>
                </c:pt>
                <c:pt idx="12">
                  <c:v>1.768</c:v>
                </c:pt>
                <c:pt idx="13">
                  <c:v>0.98899999999999999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104320"/>
        <c:axId val="140258112"/>
      </c:barChart>
      <c:lineChart>
        <c:grouping val="standard"/>
        <c:varyColors val="0"/>
        <c:ser>
          <c:idx val="1"/>
          <c:order val="1"/>
          <c:tx>
            <c:strRef>
              <c:f>'Pengolahan data'!$R$17</c:f>
              <c:strCache>
                <c:ptCount val="1"/>
                <c:pt idx="0">
                  <c:v>Beban Pendinginan (kW)</c:v>
                </c:pt>
              </c:strCache>
            </c:strRef>
          </c:tx>
          <c:cat>
            <c:strRef>
              <c:f>'Pengolahan data'!$P$18:$P$31</c:f>
              <c:strCache>
                <c:ptCount val="14"/>
                <c:pt idx="0">
                  <c:v>3 Maret 2019</c:v>
                </c:pt>
                <c:pt idx="1">
                  <c:v>4 Maret 2019</c:v>
                </c:pt>
                <c:pt idx="2">
                  <c:v>6 Maret 2019</c:v>
                </c:pt>
                <c:pt idx="3">
                  <c:v>7 Maret 2019</c:v>
                </c:pt>
                <c:pt idx="4">
                  <c:v>28 Maret 2019</c:v>
                </c:pt>
                <c:pt idx="5">
                  <c:v>30 Maret 2019</c:v>
                </c:pt>
                <c:pt idx="6">
                  <c:v>3 April 2019</c:v>
                </c:pt>
                <c:pt idx="7">
                  <c:v>6 April 2019</c:v>
                </c:pt>
                <c:pt idx="8">
                  <c:v>7 April 2019</c:v>
                </c:pt>
                <c:pt idx="9">
                  <c:v>12 April 2019</c:v>
                </c:pt>
                <c:pt idx="10">
                  <c:v>14 April 2019</c:v>
                </c:pt>
                <c:pt idx="11">
                  <c:v>15 April 2019</c:v>
                </c:pt>
                <c:pt idx="12">
                  <c:v>16 April 2019</c:v>
                </c:pt>
                <c:pt idx="13">
                  <c:v>17 April 2019</c:v>
                </c:pt>
              </c:strCache>
            </c:strRef>
          </c:cat>
          <c:val>
            <c:numRef>
              <c:f>'Pengolahan data'!$R$18:$R$31</c:f>
              <c:numCache>
                <c:formatCode>0.00</c:formatCode>
                <c:ptCount val="14"/>
                <c:pt idx="0">
                  <c:v>6.25</c:v>
                </c:pt>
                <c:pt idx="1">
                  <c:v>14.46</c:v>
                </c:pt>
                <c:pt idx="2">
                  <c:v>14.1</c:v>
                </c:pt>
                <c:pt idx="3">
                  <c:v>23.05</c:v>
                </c:pt>
                <c:pt idx="4">
                  <c:v>11.83</c:v>
                </c:pt>
                <c:pt idx="5">
                  <c:v>7.86</c:v>
                </c:pt>
                <c:pt idx="6">
                  <c:v>8.08</c:v>
                </c:pt>
                <c:pt idx="7">
                  <c:v>19.53</c:v>
                </c:pt>
                <c:pt idx="8">
                  <c:v>22.83</c:v>
                </c:pt>
                <c:pt idx="9">
                  <c:v>18.760000000000002</c:v>
                </c:pt>
                <c:pt idx="10">
                  <c:v>11.35</c:v>
                </c:pt>
                <c:pt idx="11">
                  <c:v>7.71</c:v>
                </c:pt>
                <c:pt idx="12">
                  <c:v>19.989999999999998</c:v>
                </c:pt>
                <c:pt idx="13">
                  <c:v>13.4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657792"/>
        <c:axId val="140258688"/>
      </c:lineChart>
      <c:catAx>
        <c:axId val="202104320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txPr>
          <a:bodyPr rot="-2700000"/>
          <a:lstStyle/>
          <a:p>
            <a:pPr>
              <a:defRPr/>
            </a:pPr>
            <a:endParaRPr lang="id-ID"/>
          </a:p>
        </c:txPr>
        <c:crossAx val="140258112"/>
        <c:crosses val="autoZero"/>
        <c:auto val="1"/>
        <c:lblAlgn val="ctr"/>
        <c:lblOffset val="100"/>
        <c:noMultiLvlLbl val="0"/>
      </c:catAx>
      <c:valAx>
        <c:axId val="140258112"/>
        <c:scaling>
          <c:orientation val="minMax"/>
          <c:max val="8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id-ID"/>
                  <a:t>Massa</a:t>
                </a:r>
                <a:r>
                  <a:rPr lang="id-ID" baseline="0"/>
                  <a:t> Ikan (ton)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0920396496592795E-2"/>
              <c:y val="0.22135323386504585"/>
            </c:manualLayout>
          </c:layout>
          <c:overlay val="0"/>
        </c:title>
        <c:numFmt formatCode="0.0" sourceLinked="0"/>
        <c:majorTickMark val="in"/>
        <c:minorTickMark val="none"/>
        <c:tickLblPos val="nextTo"/>
        <c:crossAx val="202104320"/>
        <c:crosses val="autoZero"/>
        <c:crossBetween val="between"/>
      </c:valAx>
      <c:catAx>
        <c:axId val="202657792"/>
        <c:scaling>
          <c:orientation val="minMax"/>
        </c:scaling>
        <c:delete val="1"/>
        <c:axPos val="b"/>
        <c:majorTickMark val="out"/>
        <c:minorTickMark val="none"/>
        <c:tickLblPos val="nextTo"/>
        <c:crossAx val="140258688"/>
        <c:crosses val="autoZero"/>
        <c:auto val="1"/>
        <c:lblAlgn val="ctr"/>
        <c:lblOffset val="100"/>
        <c:noMultiLvlLbl val="0"/>
      </c:catAx>
      <c:valAx>
        <c:axId val="140258688"/>
        <c:scaling>
          <c:orientation val="minMax"/>
          <c:max val="80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id-ID"/>
                  <a:t>Beban</a:t>
                </a:r>
                <a:r>
                  <a:rPr lang="id-ID" baseline="0"/>
                  <a:t> Kalor (kW)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94354789884525769"/>
              <c:y val="0.20293359496197161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crossAx val="202657792"/>
        <c:crosses val="max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55126718059420998"/>
          <c:y val="7.0342146980094972E-2"/>
          <c:w val="0.31216748014489548"/>
          <c:h val="0.12374699168993653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6970426676006"/>
          <c:y val="5.0925925925925923E-2"/>
          <c:w val="0.73464715556016658"/>
          <c:h val="0.662473753280839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'Pengolahan data'!$Q$37</c:f>
              <c:strCache>
                <c:ptCount val="1"/>
                <c:pt idx="0">
                  <c:v>Massa Ikan (ton)</c:v>
                </c:pt>
              </c:strCache>
            </c:strRef>
          </c:tx>
          <c:invertIfNegative val="0"/>
          <c:cat>
            <c:strRef>
              <c:f>'Pengolahan data'!$P$51:$P$58</c:f>
              <c:strCache>
                <c:ptCount val="8"/>
                <c:pt idx="0">
                  <c:v>8 Maret 2019</c:v>
                </c:pt>
                <c:pt idx="1">
                  <c:v>10 Maret 2019</c:v>
                </c:pt>
                <c:pt idx="2">
                  <c:v>25 Maret 2019</c:v>
                </c:pt>
                <c:pt idx="3">
                  <c:v>26 Maret 2019</c:v>
                </c:pt>
                <c:pt idx="4">
                  <c:v>27 Maret 2019</c:v>
                </c:pt>
                <c:pt idx="5">
                  <c:v>2 April 2019</c:v>
                </c:pt>
                <c:pt idx="6">
                  <c:v>11 April 2019</c:v>
                </c:pt>
                <c:pt idx="7">
                  <c:v>13 April 2019</c:v>
                </c:pt>
              </c:strCache>
            </c:strRef>
          </c:cat>
          <c:val>
            <c:numRef>
              <c:f>'Pengolahan data'!$Q$51:$Q$58</c:f>
              <c:numCache>
                <c:formatCode>0.00</c:formatCode>
                <c:ptCount val="8"/>
                <c:pt idx="0">
                  <c:v>4.9429999999999996</c:v>
                </c:pt>
                <c:pt idx="1">
                  <c:v>4.3540000000000001</c:v>
                </c:pt>
                <c:pt idx="2">
                  <c:v>7.2880000000000003</c:v>
                </c:pt>
                <c:pt idx="3">
                  <c:v>4.4740000000000002</c:v>
                </c:pt>
                <c:pt idx="4">
                  <c:v>4.2859999999999996</c:v>
                </c:pt>
                <c:pt idx="5">
                  <c:v>5.2010000000000005</c:v>
                </c:pt>
                <c:pt idx="6">
                  <c:v>4.78</c:v>
                </c:pt>
                <c:pt idx="7">
                  <c:v>5.0760000000000005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658816"/>
        <c:axId val="140260992"/>
      </c:barChart>
      <c:lineChart>
        <c:grouping val="standard"/>
        <c:varyColors val="0"/>
        <c:ser>
          <c:idx val="1"/>
          <c:order val="1"/>
          <c:tx>
            <c:strRef>
              <c:f>'Pengolahan data'!$R$37</c:f>
              <c:strCache>
                <c:ptCount val="1"/>
                <c:pt idx="0">
                  <c:v>Beban Pendinginan (kw)</c:v>
                </c:pt>
              </c:strCache>
            </c:strRef>
          </c:tx>
          <c:cat>
            <c:strRef>
              <c:f>'Pengolahan data'!$P$51:$P$58</c:f>
              <c:strCache>
                <c:ptCount val="8"/>
                <c:pt idx="0">
                  <c:v>8 Maret 2019</c:v>
                </c:pt>
                <c:pt idx="1">
                  <c:v>10 Maret 2019</c:v>
                </c:pt>
                <c:pt idx="2">
                  <c:v>25 Maret 2019</c:v>
                </c:pt>
                <c:pt idx="3">
                  <c:v>26 Maret 2019</c:v>
                </c:pt>
                <c:pt idx="4">
                  <c:v>27 Maret 2019</c:v>
                </c:pt>
                <c:pt idx="5">
                  <c:v>2 April 2019</c:v>
                </c:pt>
                <c:pt idx="6">
                  <c:v>11 April 2019</c:v>
                </c:pt>
                <c:pt idx="7">
                  <c:v>13 April 2019</c:v>
                </c:pt>
              </c:strCache>
            </c:strRef>
          </c:cat>
          <c:val>
            <c:numRef>
              <c:f>'Pengolahan data'!$R$51:$R$58</c:f>
              <c:numCache>
                <c:formatCode>0.00</c:formatCode>
                <c:ptCount val="8"/>
                <c:pt idx="0">
                  <c:v>51.650000000000006</c:v>
                </c:pt>
                <c:pt idx="1">
                  <c:v>47.07</c:v>
                </c:pt>
                <c:pt idx="2">
                  <c:v>75.599999999999994</c:v>
                </c:pt>
                <c:pt idx="3">
                  <c:v>49.78</c:v>
                </c:pt>
                <c:pt idx="4">
                  <c:v>50.17</c:v>
                </c:pt>
                <c:pt idx="5">
                  <c:v>54.230000000000004</c:v>
                </c:pt>
                <c:pt idx="6">
                  <c:v>50.66</c:v>
                </c:pt>
                <c:pt idx="7">
                  <c:v>53.13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659328"/>
        <c:axId val="140261568"/>
      </c:lineChart>
      <c:catAx>
        <c:axId val="20265881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2700000"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id-ID"/>
          </a:p>
        </c:txPr>
        <c:crossAx val="140260992"/>
        <c:crosses val="autoZero"/>
        <c:auto val="1"/>
        <c:lblAlgn val="ctr"/>
        <c:lblOffset val="100"/>
        <c:noMultiLvlLbl val="0"/>
      </c:catAx>
      <c:valAx>
        <c:axId val="14026099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id-ID">
                    <a:latin typeface="Times New Roman" pitchFamily="18" charset="0"/>
                    <a:cs typeface="Times New Roman" pitchFamily="18" charset="0"/>
                  </a:rPr>
                  <a:t>Massa Ikan (ton) </a:t>
                </a:r>
              </a:p>
            </c:rich>
          </c:tx>
          <c:layout>
            <c:manualLayout>
              <c:xMode val="edge"/>
              <c:yMode val="edge"/>
              <c:x val="1.2630363352228054E-2"/>
              <c:y val="0.24814710037885787"/>
            </c:manualLayout>
          </c:layout>
          <c:overlay val="0"/>
        </c:title>
        <c:numFmt formatCode="0.0" sourceLinked="0"/>
        <c:majorTickMark val="in"/>
        <c:min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id-ID"/>
          </a:p>
        </c:txPr>
        <c:crossAx val="202658816"/>
        <c:crosses val="autoZero"/>
        <c:crossBetween val="between"/>
      </c:valAx>
      <c:valAx>
        <c:axId val="140261568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id-ID" sz="1000">
                    <a:latin typeface="Times New Roman" pitchFamily="18" charset="0"/>
                    <a:cs typeface="Times New Roman" pitchFamily="18" charset="0"/>
                  </a:rPr>
                  <a:t>Beban Kalor (kW)</a:t>
                </a:r>
              </a:p>
            </c:rich>
          </c:tx>
          <c:layout>
            <c:manualLayout>
              <c:xMode val="edge"/>
              <c:yMode val="edge"/>
              <c:x val="0.94993195110873929"/>
              <c:y val="0.23680065195062794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id-ID"/>
          </a:p>
        </c:txPr>
        <c:crossAx val="202659328"/>
        <c:crosses val="max"/>
        <c:crossBetween val="between"/>
      </c:valAx>
      <c:catAx>
        <c:axId val="202659328"/>
        <c:scaling>
          <c:orientation val="minMax"/>
        </c:scaling>
        <c:delete val="1"/>
        <c:axPos val="b"/>
        <c:majorTickMark val="out"/>
        <c:minorTickMark val="none"/>
        <c:tickLblPos val="nextTo"/>
        <c:crossAx val="140261568"/>
        <c:crosses val="autoZero"/>
        <c:auto val="1"/>
        <c:lblAlgn val="ctr"/>
        <c:lblOffset val="100"/>
        <c:noMultiLvlLbl val="0"/>
      </c:catAx>
      <c:spPr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53748555417359489"/>
          <c:y val="7.1515254776711737E-2"/>
          <c:w val="0.31500496538910705"/>
          <c:h val="0.13000944599734568"/>
        </c:manualLayout>
      </c:layout>
      <c:overlay val="0"/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id-ID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95034284038627"/>
          <c:y val="4.4043828297727058E-2"/>
          <c:w val="0.76811416187704085"/>
          <c:h val="0.709362183935338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'Pengolahan data'!$B$4</c:f>
              <c:strCache>
                <c:ptCount val="1"/>
                <c:pt idx="0">
                  <c:v>Beban Pendinginan (kW)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'Pengolahan data'!$A$5:$A$12</c:f>
              <c:strCache>
                <c:ptCount val="8"/>
                <c:pt idx="0">
                  <c:v>9 Maret 2019</c:v>
                </c:pt>
                <c:pt idx="1">
                  <c:v>22 Maret 2019</c:v>
                </c:pt>
                <c:pt idx="2">
                  <c:v>23 Maret 2019</c:v>
                </c:pt>
                <c:pt idx="3">
                  <c:v>24 Maret 2019</c:v>
                </c:pt>
                <c:pt idx="4">
                  <c:v>31 Maret 2019</c:v>
                </c:pt>
                <c:pt idx="5">
                  <c:v>1 April 2019</c:v>
                </c:pt>
                <c:pt idx="6">
                  <c:v>8 April 2019</c:v>
                </c:pt>
                <c:pt idx="7">
                  <c:v>10 April 2019</c:v>
                </c:pt>
              </c:strCache>
            </c:strRef>
          </c:cat>
          <c:val>
            <c:numRef>
              <c:f>'Pengolahan data'!$B$5:$B$12</c:f>
              <c:numCache>
                <c:formatCode>0.00</c:formatCode>
                <c:ptCount val="8"/>
                <c:pt idx="0">
                  <c:v>11.71</c:v>
                </c:pt>
                <c:pt idx="1">
                  <c:v>6.4</c:v>
                </c:pt>
                <c:pt idx="2">
                  <c:v>16.25</c:v>
                </c:pt>
                <c:pt idx="3">
                  <c:v>13.64</c:v>
                </c:pt>
                <c:pt idx="4">
                  <c:v>17.010000000000002</c:v>
                </c:pt>
                <c:pt idx="5">
                  <c:v>24.73</c:v>
                </c:pt>
                <c:pt idx="6">
                  <c:v>13.54</c:v>
                </c:pt>
                <c:pt idx="7">
                  <c:v>35.450000000000003</c:v>
                </c:pt>
              </c:numCache>
            </c:numRef>
          </c:val>
        </c:ser>
        <c:ser>
          <c:idx val="2"/>
          <c:order val="1"/>
          <c:tx>
            <c:strRef>
              <c:f>'Pengolahan data'!$D$4</c:f>
              <c:strCache>
                <c:ptCount val="1"/>
                <c:pt idx="0">
                  <c:v>Kapasitas Refrigerasi (kW)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'Pengolahan data'!$A$5:$A$12</c:f>
              <c:strCache>
                <c:ptCount val="8"/>
                <c:pt idx="0">
                  <c:v>9 Maret 2019</c:v>
                </c:pt>
                <c:pt idx="1">
                  <c:v>22 Maret 2019</c:v>
                </c:pt>
                <c:pt idx="2">
                  <c:v>23 Maret 2019</c:v>
                </c:pt>
                <c:pt idx="3">
                  <c:v>24 Maret 2019</c:v>
                </c:pt>
                <c:pt idx="4">
                  <c:v>31 Maret 2019</c:v>
                </c:pt>
                <c:pt idx="5">
                  <c:v>1 April 2019</c:v>
                </c:pt>
                <c:pt idx="6">
                  <c:v>8 April 2019</c:v>
                </c:pt>
                <c:pt idx="7">
                  <c:v>10 April 2019</c:v>
                </c:pt>
              </c:strCache>
            </c:strRef>
          </c:cat>
          <c:val>
            <c:numRef>
              <c:f>'Pengolahan data'!$D$5:$D$12</c:f>
              <c:numCache>
                <c:formatCode>0.00</c:formatCode>
                <c:ptCount val="8"/>
                <c:pt idx="0">
                  <c:v>58.000408163265305</c:v>
                </c:pt>
                <c:pt idx="1">
                  <c:v>72.28636363636366</c:v>
                </c:pt>
                <c:pt idx="2">
                  <c:v>48.239522968197917</c:v>
                </c:pt>
                <c:pt idx="3">
                  <c:v>52.425939278937392</c:v>
                </c:pt>
                <c:pt idx="4">
                  <c:v>52.415217391304353</c:v>
                </c:pt>
                <c:pt idx="5">
                  <c:v>54.68852760736192</c:v>
                </c:pt>
                <c:pt idx="6">
                  <c:v>54.330559006211168</c:v>
                </c:pt>
                <c:pt idx="7">
                  <c:v>45.03296875000003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659840"/>
        <c:axId val="203006528"/>
      </c:barChart>
      <c:lineChart>
        <c:grouping val="standard"/>
        <c:varyColors val="0"/>
        <c:ser>
          <c:idx val="3"/>
          <c:order val="2"/>
          <c:tx>
            <c:strRef>
              <c:f>'Pengolahan data'!$E$4</c:f>
              <c:strCache>
                <c:ptCount val="1"/>
                <c:pt idx="0">
                  <c:v>COP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circle"/>
            <c:size val="7"/>
            <c:spPr>
              <a:solidFill>
                <a:schemeClr val="tx1"/>
              </a:solidFill>
            </c:spPr>
          </c:marker>
          <c:cat>
            <c:strRef>
              <c:f>'Pengolahan data'!$A$5:$A$12</c:f>
              <c:strCache>
                <c:ptCount val="8"/>
                <c:pt idx="0">
                  <c:v>9 Maret 2019</c:v>
                </c:pt>
                <c:pt idx="1">
                  <c:v>22 Maret 2019</c:v>
                </c:pt>
                <c:pt idx="2">
                  <c:v>23 Maret 2019</c:v>
                </c:pt>
                <c:pt idx="3">
                  <c:v>24 Maret 2019</c:v>
                </c:pt>
                <c:pt idx="4">
                  <c:v>31 Maret 2019</c:v>
                </c:pt>
                <c:pt idx="5">
                  <c:v>1 April 2019</c:v>
                </c:pt>
                <c:pt idx="6">
                  <c:v>8 April 2019</c:v>
                </c:pt>
                <c:pt idx="7">
                  <c:v>10 April 2019</c:v>
                </c:pt>
              </c:strCache>
            </c:strRef>
          </c:cat>
          <c:val>
            <c:numRef>
              <c:f>'Pengolahan data'!$E$5:$E$12</c:f>
              <c:numCache>
                <c:formatCode>0.00</c:formatCode>
                <c:ptCount val="8"/>
                <c:pt idx="0">
                  <c:v>3.3918367346938774</c:v>
                </c:pt>
                <c:pt idx="1">
                  <c:v>4.2272727272727284</c:v>
                </c:pt>
                <c:pt idx="2">
                  <c:v>2.8210247349823341</c:v>
                </c:pt>
                <c:pt idx="3">
                  <c:v>3.0658444022770404</c:v>
                </c:pt>
                <c:pt idx="4">
                  <c:v>3.0652173913043477</c:v>
                </c:pt>
                <c:pt idx="5">
                  <c:v>3.1981595092024513</c:v>
                </c:pt>
                <c:pt idx="6">
                  <c:v>3.1772256728778459</c:v>
                </c:pt>
                <c:pt idx="7">
                  <c:v>2.6335069444444459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660864"/>
        <c:axId val="203007104"/>
      </c:lineChart>
      <c:catAx>
        <c:axId val="20265984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2700000"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id-ID"/>
          </a:p>
        </c:txPr>
        <c:crossAx val="203006528"/>
        <c:crosses val="autoZero"/>
        <c:auto val="1"/>
        <c:lblAlgn val="ctr"/>
        <c:lblOffset val="100"/>
        <c:noMultiLvlLbl val="0"/>
      </c:catAx>
      <c:valAx>
        <c:axId val="203006528"/>
        <c:scaling>
          <c:orientation val="minMax"/>
          <c:max val="12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id-ID">
                    <a:latin typeface="Times New Roman" pitchFamily="18" charset="0"/>
                    <a:cs typeface="Times New Roman" pitchFamily="18" charset="0"/>
                  </a:rPr>
                  <a:t>Beban Kalor &amp;</a:t>
                </a:r>
                <a:r>
                  <a:rPr lang="id-ID" baseline="0">
                    <a:latin typeface="Times New Roman" pitchFamily="18" charset="0"/>
                    <a:cs typeface="Times New Roman" pitchFamily="18" charset="0"/>
                  </a:rPr>
                  <a:t> Kapasitas Refrigerasi (kW)</a:t>
                </a:r>
                <a:endParaRPr lang="id-ID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3.1479641494247763E-2"/>
              <c:y val="5.4583649499527098E-2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id-ID"/>
          </a:p>
        </c:txPr>
        <c:crossAx val="202659840"/>
        <c:crosses val="autoZero"/>
        <c:crossBetween val="between"/>
      </c:valAx>
      <c:valAx>
        <c:axId val="203007104"/>
        <c:scaling>
          <c:orientation val="minMax"/>
          <c:max val="5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id-ID">
                    <a:latin typeface="Times New Roman" pitchFamily="18" charset="0"/>
                    <a:cs typeface="Times New Roman" pitchFamily="18" charset="0"/>
                  </a:rPr>
                  <a:t>COP</a:t>
                </a:r>
              </a:p>
            </c:rich>
          </c:tx>
          <c:layout/>
          <c:overlay val="0"/>
        </c:title>
        <c:numFmt formatCode="0.0" sourceLinked="0"/>
        <c:majorTickMark val="in"/>
        <c:min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id-ID"/>
          </a:p>
        </c:txPr>
        <c:crossAx val="202660864"/>
        <c:crosses val="max"/>
        <c:crossBetween val="between"/>
        <c:majorUnit val="1"/>
      </c:valAx>
      <c:catAx>
        <c:axId val="202660864"/>
        <c:scaling>
          <c:orientation val="minMax"/>
        </c:scaling>
        <c:delete val="1"/>
        <c:axPos val="b"/>
        <c:majorTickMark val="out"/>
        <c:minorTickMark val="none"/>
        <c:tickLblPos val="nextTo"/>
        <c:crossAx val="203007104"/>
        <c:crosses val="autoZero"/>
        <c:auto val="1"/>
        <c:lblAlgn val="ctr"/>
        <c:lblOffset val="100"/>
        <c:noMultiLvlLbl val="0"/>
      </c:catAx>
      <c:spPr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54770511048472648"/>
          <c:y val="5.8799545060695409E-2"/>
          <c:w val="0.3467725543743877"/>
          <c:h val="0.15043258335595375"/>
        </c:manualLayout>
      </c:layout>
      <c:overlay val="0"/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id-ID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04226635088359"/>
          <c:y val="3.4634185403711389E-2"/>
          <c:w val="0.76793204461078535"/>
          <c:h val="0.770451957525646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'Pengolahan data'!$B$4</c:f>
              <c:strCache>
                <c:ptCount val="1"/>
                <c:pt idx="0">
                  <c:v>Beban Pendinginan (kW)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'Pengolahan data'!$A$18:$A$31</c:f>
              <c:strCache>
                <c:ptCount val="14"/>
                <c:pt idx="0">
                  <c:v>3 Maret 2019</c:v>
                </c:pt>
                <c:pt idx="1">
                  <c:v>4 Maret 2019</c:v>
                </c:pt>
                <c:pt idx="2">
                  <c:v>6 Maret 2019</c:v>
                </c:pt>
                <c:pt idx="3">
                  <c:v>7 Maret 2019</c:v>
                </c:pt>
                <c:pt idx="4">
                  <c:v>28 Maret 2019</c:v>
                </c:pt>
                <c:pt idx="5">
                  <c:v>30 Maret 2019</c:v>
                </c:pt>
                <c:pt idx="6">
                  <c:v>3 April 2019</c:v>
                </c:pt>
                <c:pt idx="7">
                  <c:v>6 April 2019</c:v>
                </c:pt>
                <c:pt idx="8">
                  <c:v>7 April 2019</c:v>
                </c:pt>
                <c:pt idx="9">
                  <c:v>12 April 2019</c:v>
                </c:pt>
                <c:pt idx="10">
                  <c:v>14 April 2019</c:v>
                </c:pt>
                <c:pt idx="11">
                  <c:v>15 April 2019</c:v>
                </c:pt>
                <c:pt idx="12">
                  <c:v>16 April 2019</c:v>
                </c:pt>
                <c:pt idx="13">
                  <c:v>17 April 2019</c:v>
                </c:pt>
              </c:strCache>
            </c:strRef>
          </c:cat>
          <c:val>
            <c:numRef>
              <c:f>'Pengolahan data'!$B$18:$B$31</c:f>
              <c:numCache>
                <c:formatCode>0.00</c:formatCode>
                <c:ptCount val="14"/>
                <c:pt idx="0">
                  <c:v>6.25</c:v>
                </c:pt>
                <c:pt idx="1">
                  <c:v>14.46</c:v>
                </c:pt>
                <c:pt idx="2">
                  <c:v>14.1</c:v>
                </c:pt>
                <c:pt idx="3">
                  <c:v>23.05</c:v>
                </c:pt>
                <c:pt idx="4">
                  <c:v>11.83</c:v>
                </c:pt>
                <c:pt idx="5">
                  <c:v>7.86</c:v>
                </c:pt>
                <c:pt idx="6">
                  <c:v>8.08</c:v>
                </c:pt>
                <c:pt idx="7">
                  <c:v>19.53</c:v>
                </c:pt>
                <c:pt idx="8">
                  <c:v>22.83</c:v>
                </c:pt>
                <c:pt idx="9">
                  <c:v>18.760000000000002</c:v>
                </c:pt>
                <c:pt idx="10">
                  <c:v>11.35</c:v>
                </c:pt>
                <c:pt idx="11">
                  <c:v>7.71</c:v>
                </c:pt>
                <c:pt idx="12">
                  <c:v>19.989999999999998</c:v>
                </c:pt>
                <c:pt idx="13">
                  <c:v>13.4</c:v>
                </c:pt>
              </c:numCache>
            </c:numRef>
          </c:val>
        </c:ser>
        <c:ser>
          <c:idx val="2"/>
          <c:order val="1"/>
          <c:tx>
            <c:strRef>
              <c:f>'Pengolahan data'!$D$4</c:f>
              <c:strCache>
                <c:ptCount val="1"/>
                <c:pt idx="0">
                  <c:v>Kapasitas Refrigerasi (kW)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rgbClr val="00B050"/>
              </a:solidFill>
            </a:ln>
          </c:spPr>
          <c:invertIfNegative val="0"/>
          <c:cat>
            <c:strRef>
              <c:f>'Pengolahan data'!$A$18:$A$31</c:f>
              <c:strCache>
                <c:ptCount val="14"/>
                <c:pt idx="0">
                  <c:v>3 Maret 2019</c:v>
                </c:pt>
                <c:pt idx="1">
                  <c:v>4 Maret 2019</c:v>
                </c:pt>
                <c:pt idx="2">
                  <c:v>6 Maret 2019</c:v>
                </c:pt>
                <c:pt idx="3">
                  <c:v>7 Maret 2019</c:v>
                </c:pt>
                <c:pt idx="4">
                  <c:v>28 Maret 2019</c:v>
                </c:pt>
                <c:pt idx="5">
                  <c:v>30 Maret 2019</c:v>
                </c:pt>
                <c:pt idx="6">
                  <c:v>3 April 2019</c:v>
                </c:pt>
                <c:pt idx="7">
                  <c:v>6 April 2019</c:v>
                </c:pt>
                <c:pt idx="8">
                  <c:v>7 April 2019</c:v>
                </c:pt>
                <c:pt idx="9">
                  <c:v>12 April 2019</c:v>
                </c:pt>
                <c:pt idx="10">
                  <c:v>14 April 2019</c:v>
                </c:pt>
                <c:pt idx="11">
                  <c:v>15 April 2019</c:v>
                </c:pt>
                <c:pt idx="12">
                  <c:v>16 April 2019</c:v>
                </c:pt>
                <c:pt idx="13">
                  <c:v>17 April 2019</c:v>
                </c:pt>
              </c:strCache>
            </c:strRef>
          </c:cat>
          <c:val>
            <c:numRef>
              <c:f>'Pengolahan data'!$D$18:$D$31</c:f>
              <c:numCache>
                <c:formatCode>0.00</c:formatCode>
                <c:ptCount val="14"/>
                <c:pt idx="0">
                  <c:v>53.7</c:v>
                </c:pt>
                <c:pt idx="1">
                  <c:v>43.71</c:v>
                </c:pt>
                <c:pt idx="2">
                  <c:v>65.02</c:v>
                </c:pt>
                <c:pt idx="3">
                  <c:v>46.07</c:v>
                </c:pt>
                <c:pt idx="4">
                  <c:v>50.16</c:v>
                </c:pt>
                <c:pt idx="5">
                  <c:v>45.98</c:v>
                </c:pt>
                <c:pt idx="6">
                  <c:v>43.3</c:v>
                </c:pt>
                <c:pt idx="7">
                  <c:v>45.72</c:v>
                </c:pt>
                <c:pt idx="8">
                  <c:v>43.24</c:v>
                </c:pt>
                <c:pt idx="9">
                  <c:v>44.77</c:v>
                </c:pt>
                <c:pt idx="10">
                  <c:v>46.78</c:v>
                </c:pt>
                <c:pt idx="11">
                  <c:v>57.58</c:v>
                </c:pt>
                <c:pt idx="12">
                  <c:v>44.76</c:v>
                </c:pt>
                <c:pt idx="13">
                  <c:v>45.66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661376"/>
        <c:axId val="203009408"/>
      </c:barChart>
      <c:lineChart>
        <c:grouping val="standard"/>
        <c:varyColors val="0"/>
        <c:ser>
          <c:idx val="3"/>
          <c:order val="2"/>
          <c:tx>
            <c:strRef>
              <c:f>'Pengolahan data'!$E$4</c:f>
              <c:strCache>
                <c:ptCount val="1"/>
                <c:pt idx="0">
                  <c:v>COP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circle"/>
            <c:size val="7"/>
            <c:spPr>
              <a:solidFill>
                <a:schemeClr val="tx1"/>
              </a:solidFill>
            </c:spPr>
          </c:marker>
          <c:cat>
            <c:strRef>
              <c:f>'Pengolahan data'!$A$18:$A$31</c:f>
              <c:strCache>
                <c:ptCount val="14"/>
                <c:pt idx="0">
                  <c:v>3 Maret 2019</c:v>
                </c:pt>
                <c:pt idx="1">
                  <c:v>4 Maret 2019</c:v>
                </c:pt>
                <c:pt idx="2">
                  <c:v>6 Maret 2019</c:v>
                </c:pt>
                <c:pt idx="3">
                  <c:v>7 Maret 2019</c:v>
                </c:pt>
                <c:pt idx="4">
                  <c:v>28 Maret 2019</c:v>
                </c:pt>
                <c:pt idx="5">
                  <c:v>30 Maret 2019</c:v>
                </c:pt>
                <c:pt idx="6">
                  <c:v>3 April 2019</c:v>
                </c:pt>
                <c:pt idx="7">
                  <c:v>6 April 2019</c:v>
                </c:pt>
                <c:pt idx="8">
                  <c:v>7 April 2019</c:v>
                </c:pt>
                <c:pt idx="9">
                  <c:v>12 April 2019</c:v>
                </c:pt>
                <c:pt idx="10">
                  <c:v>14 April 2019</c:v>
                </c:pt>
                <c:pt idx="11">
                  <c:v>15 April 2019</c:v>
                </c:pt>
                <c:pt idx="12">
                  <c:v>16 April 2019</c:v>
                </c:pt>
                <c:pt idx="13">
                  <c:v>17 April 2019</c:v>
                </c:pt>
              </c:strCache>
            </c:strRef>
          </c:cat>
          <c:val>
            <c:numRef>
              <c:f>'Pengolahan data'!$E$18:$E$31</c:f>
              <c:numCache>
                <c:formatCode>0.00</c:formatCode>
                <c:ptCount val="14"/>
                <c:pt idx="0">
                  <c:v>3.1403508771929824</c:v>
                </c:pt>
                <c:pt idx="1">
                  <c:v>2.5561403508771927</c:v>
                </c:pt>
                <c:pt idx="2">
                  <c:v>3.8023391812865492</c:v>
                </c:pt>
                <c:pt idx="3">
                  <c:v>2.6941520467836257</c:v>
                </c:pt>
                <c:pt idx="4">
                  <c:v>2.9333333333333327</c:v>
                </c:pt>
                <c:pt idx="5">
                  <c:v>2.6888888888888887</c:v>
                </c:pt>
                <c:pt idx="6">
                  <c:v>2.5321637426900581</c:v>
                </c:pt>
                <c:pt idx="7">
                  <c:v>2.6736842105263157</c:v>
                </c:pt>
                <c:pt idx="8">
                  <c:v>2.5286549707602339</c:v>
                </c:pt>
                <c:pt idx="9">
                  <c:v>2.6181286549707603</c:v>
                </c:pt>
                <c:pt idx="10">
                  <c:v>2.7356725146198828</c:v>
                </c:pt>
                <c:pt idx="11">
                  <c:v>3.3672514619883036</c:v>
                </c:pt>
                <c:pt idx="12">
                  <c:v>2.6175438596491225</c:v>
                </c:pt>
                <c:pt idx="13">
                  <c:v>2.6701754385964906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863104"/>
        <c:axId val="203009984"/>
      </c:lineChart>
      <c:catAx>
        <c:axId val="20266137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2700000"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id-ID"/>
          </a:p>
        </c:txPr>
        <c:crossAx val="203009408"/>
        <c:crosses val="autoZero"/>
        <c:auto val="1"/>
        <c:lblAlgn val="ctr"/>
        <c:lblOffset val="100"/>
        <c:noMultiLvlLbl val="0"/>
      </c:catAx>
      <c:valAx>
        <c:axId val="203009408"/>
        <c:scaling>
          <c:orientation val="minMax"/>
          <c:max val="12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id-ID" sz="1000">
                    <a:latin typeface="Times New Roman" pitchFamily="18" charset="0"/>
                    <a:cs typeface="Times New Roman" pitchFamily="18" charset="0"/>
                  </a:rPr>
                  <a:t>Beban Kalor &amp; Kapasitas Refrigerasi (kW)</a:t>
                </a:r>
              </a:p>
            </c:rich>
          </c:tx>
          <c:layout>
            <c:manualLayout>
              <c:xMode val="edge"/>
              <c:yMode val="edge"/>
              <c:x val="8.8733205974399765E-3"/>
              <c:y val="0.11874740770435843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id-ID"/>
          </a:p>
        </c:txPr>
        <c:crossAx val="202661376"/>
        <c:crosses val="autoZero"/>
        <c:crossBetween val="between"/>
      </c:valAx>
      <c:valAx>
        <c:axId val="203009984"/>
        <c:scaling>
          <c:orientation val="minMax"/>
          <c:max val="5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id-ID">
                    <a:latin typeface="Times New Roman" pitchFamily="18" charset="0"/>
                    <a:cs typeface="Times New Roman" pitchFamily="18" charset="0"/>
                  </a:rPr>
                  <a:t>COP</a:t>
                </a:r>
              </a:p>
            </c:rich>
          </c:tx>
          <c:layout/>
          <c:overlay val="0"/>
        </c:title>
        <c:numFmt formatCode="0.0" sourceLinked="0"/>
        <c:majorTickMark val="in"/>
        <c:min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id-ID"/>
          </a:p>
        </c:txPr>
        <c:crossAx val="202863104"/>
        <c:crosses val="max"/>
        <c:crossBetween val="between"/>
        <c:majorUnit val="1"/>
      </c:valAx>
      <c:catAx>
        <c:axId val="202863104"/>
        <c:scaling>
          <c:orientation val="minMax"/>
        </c:scaling>
        <c:delete val="1"/>
        <c:axPos val="b"/>
        <c:majorTickMark val="out"/>
        <c:minorTickMark val="none"/>
        <c:tickLblPos val="nextTo"/>
        <c:crossAx val="203009984"/>
        <c:crosses val="autoZero"/>
        <c:auto val="1"/>
        <c:lblAlgn val="ctr"/>
        <c:lblOffset val="100"/>
        <c:noMultiLvlLbl val="0"/>
      </c:catAx>
      <c:spPr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51919510597941287"/>
          <c:y val="6.8868474773986596E-2"/>
          <c:w val="0.33111145152677873"/>
          <c:h val="0.14095196161629839"/>
        </c:manualLayout>
      </c:layout>
      <c:overlay val="0"/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id-ID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045555971319612E-2"/>
          <c:y val="5.1400554097404488E-2"/>
          <c:w val="0.8183582035140623"/>
          <c:h val="0.719609944590259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'Pengolahan data'!$B$4</c:f>
              <c:strCache>
                <c:ptCount val="1"/>
                <c:pt idx="0">
                  <c:v>Beban Pendinginan (kW)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'Pengolahan data'!$A$55:$A$62</c:f>
              <c:strCache>
                <c:ptCount val="8"/>
                <c:pt idx="0">
                  <c:v>8 Maret 2019</c:v>
                </c:pt>
                <c:pt idx="1">
                  <c:v>10 Maret 2019</c:v>
                </c:pt>
                <c:pt idx="2">
                  <c:v>25 Maret 2019</c:v>
                </c:pt>
                <c:pt idx="3">
                  <c:v>26 Maret 2019</c:v>
                </c:pt>
                <c:pt idx="4">
                  <c:v>27 Maret 2019</c:v>
                </c:pt>
                <c:pt idx="5">
                  <c:v>2 April 2019</c:v>
                </c:pt>
                <c:pt idx="6">
                  <c:v>11 April 2019</c:v>
                </c:pt>
                <c:pt idx="7">
                  <c:v>13 April 2019</c:v>
                </c:pt>
              </c:strCache>
            </c:strRef>
          </c:cat>
          <c:val>
            <c:numRef>
              <c:f>'Pengolahan data'!$B$55:$B$62</c:f>
              <c:numCache>
                <c:formatCode>0.00</c:formatCode>
                <c:ptCount val="8"/>
                <c:pt idx="0">
                  <c:v>51.650000000000006</c:v>
                </c:pt>
                <c:pt idx="1">
                  <c:v>47.07</c:v>
                </c:pt>
                <c:pt idx="2">
                  <c:v>75.599999999999994</c:v>
                </c:pt>
                <c:pt idx="3">
                  <c:v>49.78</c:v>
                </c:pt>
                <c:pt idx="4">
                  <c:v>50.17</c:v>
                </c:pt>
                <c:pt idx="5">
                  <c:v>54.230000000000004</c:v>
                </c:pt>
                <c:pt idx="6">
                  <c:v>50.66</c:v>
                </c:pt>
                <c:pt idx="7">
                  <c:v>53.13</c:v>
                </c:pt>
              </c:numCache>
            </c:numRef>
          </c:val>
        </c:ser>
        <c:ser>
          <c:idx val="2"/>
          <c:order val="1"/>
          <c:tx>
            <c:strRef>
              <c:f>'Pengolahan data'!$D$4</c:f>
              <c:strCache>
                <c:ptCount val="1"/>
                <c:pt idx="0">
                  <c:v>Kapasitas Refrigerasi (kW)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'Pengolahan data'!$A$55:$A$62</c:f>
              <c:strCache>
                <c:ptCount val="8"/>
                <c:pt idx="0">
                  <c:v>8 Maret 2019</c:v>
                </c:pt>
                <c:pt idx="1">
                  <c:v>10 Maret 2019</c:v>
                </c:pt>
                <c:pt idx="2">
                  <c:v>25 Maret 2019</c:v>
                </c:pt>
                <c:pt idx="3">
                  <c:v>26 Maret 2019</c:v>
                </c:pt>
                <c:pt idx="4">
                  <c:v>27 Maret 2019</c:v>
                </c:pt>
                <c:pt idx="5">
                  <c:v>2 April 2019</c:v>
                </c:pt>
                <c:pt idx="6">
                  <c:v>11 April 2019</c:v>
                </c:pt>
                <c:pt idx="7">
                  <c:v>13 April 2019</c:v>
                </c:pt>
              </c:strCache>
            </c:strRef>
          </c:cat>
          <c:val>
            <c:numRef>
              <c:f>'Pengolahan data'!$D$55:$D$62</c:f>
              <c:numCache>
                <c:formatCode>0.00</c:formatCode>
                <c:ptCount val="8"/>
                <c:pt idx="0">
                  <c:v>119.72</c:v>
                </c:pt>
                <c:pt idx="1">
                  <c:v>107.41</c:v>
                </c:pt>
                <c:pt idx="2">
                  <c:v>84.91</c:v>
                </c:pt>
                <c:pt idx="3">
                  <c:v>98.5</c:v>
                </c:pt>
                <c:pt idx="4">
                  <c:v>89.08</c:v>
                </c:pt>
                <c:pt idx="5">
                  <c:v>87.8</c:v>
                </c:pt>
                <c:pt idx="6">
                  <c:v>98.740000000000009</c:v>
                </c:pt>
                <c:pt idx="7">
                  <c:v>83.87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864128"/>
        <c:axId val="203012288"/>
      </c:barChart>
      <c:lineChart>
        <c:grouping val="standard"/>
        <c:varyColors val="0"/>
        <c:ser>
          <c:idx val="3"/>
          <c:order val="2"/>
          <c:tx>
            <c:strRef>
              <c:f>'Pengolahan data'!$E$4</c:f>
              <c:strCache>
                <c:ptCount val="1"/>
                <c:pt idx="0">
                  <c:v>COP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circle"/>
            <c:size val="7"/>
            <c:spPr>
              <a:solidFill>
                <a:schemeClr val="tx1"/>
              </a:solidFill>
            </c:spPr>
          </c:marker>
          <c:cat>
            <c:strRef>
              <c:f>'Pengolahan data'!$A$55:$A$62</c:f>
              <c:strCache>
                <c:ptCount val="8"/>
                <c:pt idx="0">
                  <c:v>8 Maret 2019</c:v>
                </c:pt>
                <c:pt idx="1">
                  <c:v>10 Maret 2019</c:v>
                </c:pt>
                <c:pt idx="2">
                  <c:v>25 Maret 2019</c:v>
                </c:pt>
                <c:pt idx="3">
                  <c:v>26 Maret 2019</c:v>
                </c:pt>
                <c:pt idx="4">
                  <c:v>27 Maret 2019</c:v>
                </c:pt>
                <c:pt idx="5">
                  <c:v>2 April 2019</c:v>
                </c:pt>
                <c:pt idx="6">
                  <c:v>11 April 2019</c:v>
                </c:pt>
                <c:pt idx="7">
                  <c:v>13 April 2019</c:v>
                </c:pt>
              </c:strCache>
            </c:strRef>
          </c:cat>
          <c:val>
            <c:numRef>
              <c:f>'Pengolahan data'!$E$55:$E$62</c:f>
              <c:numCache>
                <c:formatCode>0.00</c:formatCode>
                <c:ptCount val="8"/>
                <c:pt idx="0">
                  <c:v>3.5005847953216369</c:v>
                </c:pt>
                <c:pt idx="1">
                  <c:v>3.1406432748538009</c:v>
                </c:pt>
                <c:pt idx="2">
                  <c:v>2.4827485380116956</c:v>
                </c:pt>
                <c:pt idx="3">
                  <c:v>2.8801169590643272</c:v>
                </c:pt>
                <c:pt idx="4">
                  <c:v>2.6046783625730994</c:v>
                </c:pt>
                <c:pt idx="5">
                  <c:v>2.5672514619883038</c:v>
                </c:pt>
                <c:pt idx="6">
                  <c:v>2.8871345029239768</c:v>
                </c:pt>
                <c:pt idx="7">
                  <c:v>2.4523391812865496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865152"/>
        <c:axId val="203012864"/>
      </c:lineChart>
      <c:catAx>
        <c:axId val="20286412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2700000"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id-ID"/>
          </a:p>
        </c:txPr>
        <c:crossAx val="203012288"/>
        <c:crosses val="autoZero"/>
        <c:auto val="1"/>
        <c:lblAlgn val="ctr"/>
        <c:lblOffset val="100"/>
        <c:noMultiLvlLbl val="0"/>
      </c:catAx>
      <c:valAx>
        <c:axId val="203012288"/>
        <c:scaling>
          <c:orientation val="minMax"/>
          <c:max val="12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id-ID">
                    <a:latin typeface="Times New Roman" pitchFamily="18" charset="0"/>
                    <a:cs typeface="Times New Roman" pitchFamily="18" charset="0"/>
                  </a:rPr>
                  <a:t>Beban Kalor &amp; Kapasitas Refrigerasi (kW)</a:t>
                </a:r>
              </a:p>
            </c:rich>
          </c:tx>
          <c:layout/>
          <c:overlay val="0"/>
        </c:title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id-ID"/>
          </a:p>
        </c:txPr>
        <c:crossAx val="202864128"/>
        <c:crosses val="autoZero"/>
        <c:crossBetween val="between"/>
      </c:valAx>
      <c:valAx>
        <c:axId val="203012864"/>
        <c:scaling>
          <c:orientation val="minMax"/>
          <c:max val="5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id-ID">
                    <a:latin typeface="Times New Roman" pitchFamily="18" charset="0"/>
                    <a:cs typeface="Times New Roman" pitchFamily="18" charset="0"/>
                  </a:rPr>
                  <a:t>COP</a:t>
                </a:r>
              </a:p>
            </c:rich>
          </c:tx>
          <c:layout/>
          <c:overlay val="0"/>
        </c:title>
        <c:numFmt formatCode="0.0" sourceLinked="0"/>
        <c:majorTickMark val="in"/>
        <c:min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id-ID"/>
          </a:p>
        </c:txPr>
        <c:crossAx val="202865152"/>
        <c:crosses val="max"/>
        <c:crossBetween val="between"/>
        <c:majorUnit val="1"/>
      </c:valAx>
      <c:catAx>
        <c:axId val="202865152"/>
        <c:scaling>
          <c:orientation val="minMax"/>
        </c:scaling>
        <c:delete val="1"/>
        <c:axPos val="b"/>
        <c:majorTickMark val="out"/>
        <c:minorTickMark val="none"/>
        <c:tickLblPos val="nextTo"/>
        <c:crossAx val="203012864"/>
        <c:crosses val="autoZero"/>
        <c:auto val="1"/>
        <c:lblAlgn val="ctr"/>
        <c:lblOffset val="100"/>
        <c:noMultiLvlLbl val="0"/>
      </c:catAx>
      <c:spPr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59899894484584015"/>
          <c:y val="6.7706251488007477E-2"/>
          <c:w val="0.30450672574796261"/>
          <c:h val="0.12979029196617936"/>
        </c:manualLayout>
      </c:layout>
      <c:overlay val="0"/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id-ID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361949</xdr:colOff>
      <xdr:row>0</xdr:row>
      <xdr:rowOff>47624</xdr:rowOff>
    </xdr:from>
    <xdr:to>
      <xdr:col>24</xdr:col>
      <xdr:colOff>451184</xdr:colOff>
      <xdr:row>18</xdr:row>
      <xdr:rowOff>0</xdr:rowOff>
    </xdr:to>
    <xdr:graphicFrame macro="">
      <xdr:nvGraphicFramePr>
        <xdr:cNvPr id="13048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874797</xdr:colOff>
      <xdr:row>16</xdr:row>
      <xdr:rowOff>107782</xdr:rowOff>
    </xdr:from>
    <xdr:to>
      <xdr:col>25</xdr:col>
      <xdr:colOff>531395</xdr:colOff>
      <xdr:row>36</xdr:row>
      <xdr:rowOff>170447</xdr:rowOff>
    </xdr:to>
    <xdr:graphicFrame macro="">
      <xdr:nvGraphicFramePr>
        <xdr:cNvPr id="13048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491289</xdr:colOff>
      <xdr:row>47</xdr:row>
      <xdr:rowOff>147387</xdr:rowOff>
    </xdr:from>
    <xdr:to>
      <xdr:col>24</xdr:col>
      <xdr:colOff>431131</xdr:colOff>
      <xdr:row>66</xdr:row>
      <xdr:rowOff>70185</xdr:rowOff>
    </xdr:to>
    <xdr:graphicFrame macro="">
      <xdr:nvGraphicFramePr>
        <xdr:cNvPr id="2" name="Baga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481264</xdr:colOff>
      <xdr:row>2</xdr:row>
      <xdr:rowOff>50131</xdr:rowOff>
    </xdr:from>
    <xdr:to>
      <xdr:col>13</xdr:col>
      <xdr:colOff>180473</xdr:colOff>
      <xdr:row>20</xdr:row>
      <xdr:rowOff>30078</xdr:rowOff>
    </xdr:to>
    <xdr:graphicFrame macro="">
      <xdr:nvGraphicFramePr>
        <xdr:cNvPr id="5" name="Baga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10025</xdr:colOff>
      <xdr:row>20</xdr:row>
      <xdr:rowOff>117307</xdr:rowOff>
    </xdr:from>
    <xdr:to>
      <xdr:col>14</xdr:col>
      <xdr:colOff>280737</xdr:colOff>
      <xdr:row>42</xdr:row>
      <xdr:rowOff>30079</xdr:rowOff>
    </xdr:to>
    <xdr:graphicFrame macro="">
      <xdr:nvGraphicFramePr>
        <xdr:cNvPr id="6" name="Bagan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80210</xdr:colOff>
      <xdr:row>53</xdr:row>
      <xdr:rowOff>17042</xdr:rowOff>
    </xdr:from>
    <xdr:to>
      <xdr:col>13</xdr:col>
      <xdr:colOff>370974</xdr:colOff>
      <xdr:row>71</xdr:row>
      <xdr:rowOff>70184</xdr:rowOff>
    </xdr:to>
    <xdr:graphicFrame macro="">
      <xdr:nvGraphicFramePr>
        <xdr:cNvPr id="7" name="Bagan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Office">
  <a:themeElements>
    <a:clrScheme name="Ka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E29"/>
  <sheetViews>
    <sheetView topLeftCell="K1" zoomScale="93" zoomScaleNormal="93" workbookViewId="0">
      <selection activeCell="U19" sqref="U19"/>
    </sheetView>
  </sheetViews>
  <sheetFormatPr defaultColWidth="11" defaultRowHeight="15.75" x14ac:dyDescent="0.2"/>
  <cols>
    <col min="1" max="1" width="9.875" style="48" customWidth="1"/>
    <col min="2" max="2" width="10.375" style="48" customWidth="1"/>
    <col min="3" max="3" width="4.75" style="48" customWidth="1"/>
    <col min="4" max="4" width="4.625" style="48" customWidth="1"/>
    <col min="5" max="5" width="4.875" style="48" customWidth="1"/>
    <col min="6" max="6" width="8.5" style="48" customWidth="1"/>
    <col min="7" max="7" width="4.75" style="48" customWidth="1"/>
    <col min="8" max="8" width="7.75" style="48" customWidth="1"/>
    <col min="9" max="9" width="6.625" style="48" customWidth="1"/>
    <col min="10" max="10" width="9.875" style="48" customWidth="1"/>
    <col min="11" max="11" width="8.25" style="48" customWidth="1"/>
    <col min="12" max="12" width="9.625" style="48" customWidth="1"/>
    <col min="13" max="13" width="6.25" style="48" customWidth="1"/>
    <col min="14" max="14" width="5.25" style="48" customWidth="1"/>
    <col min="15" max="15" width="11" style="48"/>
    <col min="16" max="16" width="7.875" style="48" customWidth="1"/>
    <col min="17" max="17" width="8.375" style="48" customWidth="1"/>
    <col min="18" max="18" width="6.25" style="48" customWidth="1"/>
    <col min="19" max="19" width="6.875" style="48" customWidth="1"/>
    <col min="20" max="20" width="6.125" style="48" customWidth="1"/>
    <col min="21" max="21" width="12.625" style="48" customWidth="1"/>
    <col min="22" max="22" width="7.75" style="48" customWidth="1"/>
    <col min="23" max="23" width="8.625" style="48" customWidth="1"/>
    <col min="24" max="24" width="7" style="48" customWidth="1"/>
    <col min="25" max="25" width="6.25" style="48" customWidth="1"/>
    <col min="26" max="26" width="7.75" style="48" customWidth="1"/>
    <col min="27" max="27" width="6.75" style="48" customWidth="1"/>
    <col min="28" max="28" width="5.875" style="48" customWidth="1"/>
    <col min="29" max="29" width="15" style="48" customWidth="1"/>
    <col min="30" max="30" width="8" style="48" customWidth="1"/>
    <col min="31" max="31" width="8.125" style="48" customWidth="1"/>
    <col min="32" max="16384" width="11" style="48"/>
  </cols>
  <sheetData>
    <row r="3" spans="1:31" x14ac:dyDescent="0.2">
      <c r="A3" s="155" t="s">
        <v>159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7"/>
      <c r="Q3" s="154" t="s">
        <v>160</v>
      </c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22"/>
    </row>
    <row r="4" spans="1:31" s="47" customFormat="1" x14ac:dyDescent="0.2">
      <c r="A4" s="152" t="s">
        <v>131</v>
      </c>
      <c r="B4" s="57" t="s">
        <v>11</v>
      </c>
      <c r="C4" s="57" t="s">
        <v>106</v>
      </c>
      <c r="D4" s="57" t="s">
        <v>146</v>
      </c>
      <c r="E4" s="57" t="s">
        <v>108</v>
      </c>
      <c r="F4" s="57" t="s">
        <v>18</v>
      </c>
      <c r="G4" s="57" t="s">
        <v>20</v>
      </c>
      <c r="H4" s="57" t="s">
        <v>19</v>
      </c>
      <c r="I4" s="57" t="s">
        <v>24</v>
      </c>
      <c r="J4" s="57" t="s">
        <v>21</v>
      </c>
      <c r="K4" s="57" t="s">
        <v>22</v>
      </c>
      <c r="L4" s="57" t="s">
        <v>12</v>
      </c>
      <c r="M4" s="57" t="s">
        <v>23</v>
      </c>
      <c r="N4" s="57" t="s">
        <v>78</v>
      </c>
      <c r="O4" s="68" t="s">
        <v>135</v>
      </c>
      <c r="P4" s="56"/>
      <c r="Q4" s="152" t="s">
        <v>33</v>
      </c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61"/>
      <c r="AC4" s="152" t="s">
        <v>60</v>
      </c>
      <c r="AD4" s="152"/>
    </row>
    <row r="5" spans="1:31" s="47" customFormat="1" ht="18.75" x14ac:dyDescent="0.2">
      <c r="A5" s="152"/>
      <c r="B5" s="57" t="s">
        <v>13</v>
      </c>
      <c r="C5" s="62" t="s">
        <v>14</v>
      </c>
      <c r="D5" s="62" t="s">
        <v>14</v>
      </c>
      <c r="E5" s="62" t="s">
        <v>14</v>
      </c>
      <c r="F5" s="57" t="s">
        <v>15</v>
      </c>
      <c r="G5" s="57" t="s">
        <v>16</v>
      </c>
      <c r="H5" s="57" t="s">
        <v>15</v>
      </c>
      <c r="I5" s="57" t="s">
        <v>51</v>
      </c>
      <c r="J5" s="57" t="s">
        <v>17</v>
      </c>
      <c r="K5" s="57" t="s">
        <v>17</v>
      </c>
      <c r="L5" s="57" t="s">
        <v>17</v>
      </c>
      <c r="M5" s="57" t="s">
        <v>41</v>
      </c>
      <c r="N5" s="57" t="s">
        <v>41</v>
      </c>
      <c r="O5" s="57" t="s">
        <v>41</v>
      </c>
      <c r="P5" s="56"/>
      <c r="Q5" s="152" t="s">
        <v>34</v>
      </c>
      <c r="R5" s="57" t="s">
        <v>106</v>
      </c>
      <c r="S5" s="57" t="s">
        <v>107</v>
      </c>
      <c r="T5" s="57" t="s">
        <v>147</v>
      </c>
      <c r="U5" s="152" t="s">
        <v>38</v>
      </c>
      <c r="V5" s="152" t="s">
        <v>49</v>
      </c>
      <c r="W5" s="152" t="s">
        <v>50</v>
      </c>
      <c r="X5" s="63" t="s">
        <v>45</v>
      </c>
      <c r="Y5" s="63" t="s">
        <v>46</v>
      </c>
      <c r="Z5" s="57" t="s">
        <v>26</v>
      </c>
      <c r="AA5" s="57" t="s">
        <v>27</v>
      </c>
      <c r="AB5" s="64" t="s">
        <v>27</v>
      </c>
      <c r="AC5" s="60" t="s">
        <v>53</v>
      </c>
      <c r="AD5" s="61">
        <v>4</v>
      </c>
      <c r="AE5" s="57" t="s">
        <v>78</v>
      </c>
    </row>
    <row r="6" spans="1:31" ht="18.75" x14ac:dyDescent="0.2">
      <c r="A6" s="74">
        <v>43532</v>
      </c>
      <c r="B6" s="58">
        <v>3593</v>
      </c>
      <c r="C6" s="58">
        <v>27</v>
      </c>
      <c r="D6" s="58">
        <v>-2.2000000000000002</v>
      </c>
      <c r="E6" s="58">
        <v>-18</v>
      </c>
      <c r="F6" s="58">
        <v>3.43</v>
      </c>
      <c r="G6" s="58">
        <v>227</v>
      </c>
      <c r="H6" s="58">
        <v>2.19</v>
      </c>
      <c r="I6" s="58">
        <f>12*3600</f>
        <v>43200</v>
      </c>
      <c r="J6" s="59">
        <f>B6*(C6-D6)*F6</f>
        <v>359860.50799999997</v>
      </c>
      <c r="K6" s="58">
        <f>B6*G6</f>
        <v>815611</v>
      </c>
      <c r="L6" s="59">
        <f>B6*(D6-E6)*H6</f>
        <v>124324.986</v>
      </c>
      <c r="M6" s="59">
        <f>(J6+K6+L6)/I6</f>
        <v>30.087881805555554</v>
      </c>
      <c r="N6" s="59">
        <v>5.22</v>
      </c>
      <c r="O6" s="59">
        <f>M6+N6</f>
        <v>35.307881805555553</v>
      </c>
      <c r="P6" s="66"/>
      <c r="Q6" s="152"/>
      <c r="R6" s="62" t="s">
        <v>14</v>
      </c>
      <c r="S6" s="62" t="s">
        <v>14</v>
      </c>
      <c r="T6" s="57" t="s">
        <v>37</v>
      </c>
      <c r="U6" s="152"/>
      <c r="V6" s="152"/>
      <c r="W6" s="152"/>
      <c r="X6" s="57" t="s">
        <v>48</v>
      </c>
      <c r="Y6" s="57" t="s">
        <v>47</v>
      </c>
      <c r="Z6" s="57" t="s">
        <v>40</v>
      </c>
      <c r="AA6" s="57" t="s">
        <v>39</v>
      </c>
      <c r="AB6" s="64" t="s">
        <v>41</v>
      </c>
      <c r="AC6" s="60" t="s">
        <v>54</v>
      </c>
      <c r="AD6" s="61">
        <v>3.5</v>
      </c>
      <c r="AE6" s="57" t="s">
        <v>41</v>
      </c>
    </row>
    <row r="7" spans="1:31" x14ac:dyDescent="0.2">
      <c r="A7" s="65">
        <v>43533</v>
      </c>
      <c r="B7" s="58">
        <v>768</v>
      </c>
      <c r="C7" s="58">
        <v>28</v>
      </c>
      <c r="D7" s="58">
        <v>-2.2000000000000002</v>
      </c>
      <c r="E7" s="58">
        <v>-18</v>
      </c>
      <c r="F7" s="58">
        <v>3.43</v>
      </c>
      <c r="G7" s="58">
        <v>227</v>
      </c>
      <c r="H7" s="58">
        <v>2.19</v>
      </c>
      <c r="I7" s="58">
        <f t="shared" ref="I7:I21" si="0">12*3600</f>
        <v>43200</v>
      </c>
      <c r="J7" s="59">
        <f t="shared" ref="J7:J21" si="1">B7*(C7-D7)*F7</f>
        <v>79554.047999999995</v>
      </c>
      <c r="K7" s="58">
        <f t="shared" ref="K7:K21" si="2">B7*G7</f>
        <v>174336</v>
      </c>
      <c r="L7" s="59">
        <f t="shared" ref="L7:L21" si="3">B7*(D7-E7)*H7</f>
        <v>26574.336000000003</v>
      </c>
      <c r="M7" s="59">
        <f>(J7+K7+L7)/I7</f>
        <v>6.4922311111111117</v>
      </c>
      <c r="N7" s="59">
        <v>5.22</v>
      </c>
      <c r="O7" s="59">
        <f t="shared" ref="O7:O21" si="4">M7+N7</f>
        <v>11.712231111111112</v>
      </c>
      <c r="P7" s="66"/>
      <c r="Q7" s="152" t="s">
        <v>28</v>
      </c>
      <c r="R7" s="152">
        <v>57</v>
      </c>
      <c r="S7" s="152">
        <v>-32</v>
      </c>
      <c r="T7" s="152">
        <f>4*3.5</f>
        <v>14</v>
      </c>
      <c r="U7" s="58" t="s">
        <v>42</v>
      </c>
      <c r="V7" s="58">
        <v>0.01</v>
      </c>
      <c r="W7" s="58">
        <v>0.04</v>
      </c>
      <c r="X7" s="153">
        <v>0.60599999999999998</v>
      </c>
      <c r="Y7" s="153">
        <v>0.154</v>
      </c>
      <c r="Z7" s="153">
        <f>1/(X7+(V7/W7)+(V8/W8)+(V9/W9)+Y7)</f>
        <v>0.41441667713173425</v>
      </c>
      <c r="AA7" s="153">
        <f>T7*Z7*(R7-S7)</f>
        <v>516.36317970614084</v>
      </c>
      <c r="AB7" s="160">
        <f>(AA7+AA10+AA13+AA16+AA19+AA21+AA24)/1000</f>
        <v>1.5274565399435001</v>
      </c>
      <c r="AC7" s="60" t="s">
        <v>55</v>
      </c>
      <c r="AD7" s="58">
        <v>2</v>
      </c>
      <c r="AE7" s="159">
        <f>AB7+AD14+AD24+AD29+AD18</f>
        <v>5.2152768649435002</v>
      </c>
    </row>
    <row r="8" spans="1:31" x14ac:dyDescent="0.2">
      <c r="A8" s="74">
        <v>43534</v>
      </c>
      <c r="B8" s="58">
        <v>894</v>
      </c>
      <c r="C8" s="58">
        <v>28</v>
      </c>
      <c r="D8" s="58">
        <v>-2.2000000000000002</v>
      </c>
      <c r="E8" s="58">
        <v>-18</v>
      </c>
      <c r="F8" s="58">
        <v>3.43</v>
      </c>
      <c r="G8" s="58">
        <v>227</v>
      </c>
      <c r="H8" s="58">
        <v>2.19</v>
      </c>
      <c r="I8" s="58">
        <f t="shared" si="0"/>
        <v>43200</v>
      </c>
      <c r="J8" s="59">
        <f t="shared" si="1"/>
        <v>92605.884000000005</v>
      </c>
      <c r="K8" s="58">
        <f t="shared" si="2"/>
        <v>202938</v>
      </c>
      <c r="L8" s="59">
        <f t="shared" si="3"/>
        <v>30934.188000000002</v>
      </c>
      <c r="M8" s="59">
        <f t="shared" ref="M8:M21" si="5">(J8+K8+L8)/I8</f>
        <v>7.5573627777777785</v>
      </c>
      <c r="N8" s="59">
        <v>5.22</v>
      </c>
      <c r="O8" s="59">
        <f t="shared" si="4"/>
        <v>12.777362777777778</v>
      </c>
      <c r="P8" s="66"/>
      <c r="Q8" s="152"/>
      <c r="R8" s="152"/>
      <c r="S8" s="152"/>
      <c r="T8" s="152"/>
      <c r="U8" s="58" t="s">
        <v>43</v>
      </c>
      <c r="V8" s="58">
        <v>0.04</v>
      </c>
      <c r="W8" s="58">
        <v>0.15</v>
      </c>
      <c r="X8" s="153"/>
      <c r="Y8" s="153"/>
      <c r="Z8" s="153"/>
      <c r="AA8" s="153"/>
      <c r="AB8" s="160"/>
      <c r="AC8" s="58" t="s">
        <v>65</v>
      </c>
      <c r="AD8" s="58">
        <f>AD5*AD6*AD7</f>
        <v>28</v>
      </c>
      <c r="AE8" s="159"/>
    </row>
    <row r="9" spans="1:31" x14ac:dyDescent="0.2">
      <c r="A9" s="65">
        <v>43546</v>
      </c>
      <c r="B9" s="58">
        <v>138</v>
      </c>
      <c r="C9" s="58">
        <v>29</v>
      </c>
      <c r="D9" s="58">
        <v>-2.2000000000000002</v>
      </c>
      <c r="E9" s="58">
        <v>-18</v>
      </c>
      <c r="F9" s="58">
        <v>3.43</v>
      </c>
      <c r="G9" s="58">
        <v>227</v>
      </c>
      <c r="H9" s="58">
        <v>2.19</v>
      </c>
      <c r="I9" s="58">
        <f t="shared" si="0"/>
        <v>43200</v>
      </c>
      <c r="J9" s="59">
        <f t="shared" si="1"/>
        <v>14768.207999999999</v>
      </c>
      <c r="K9" s="58">
        <f t="shared" si="2"/>
        <v>31326</v>
      </c>
      <c r="L9" s="59">
        <f t="shared" si="3"/>
        <v>4775.076</v>
      </c>
      <c r="M9" s="59">
        <f t="shared" si="5"/>
        <v>1.1775297222222223</v>
      </c>
      <c r="N9" s="59">
        <v>5.22</v>
      </c>
      <c r="O9" s="59">
        <f t="shared" si="4"/>
        <v>6.397529722222222</v>
      </c>
      <c r="P9" s="66"/>
      <c r="Q9" s="152"/>
      <c r="R9" s="152"/>
      <c r="S9" s="152"/>
      <c r="T9" s="152"/>
      <c r="U9" s="58" t="s">
        <v>44</v>
      </c>
      <c r="V9" s="58">
        <v>0.05</v>
      </c>
      <c r="W9" s="59">
        <v>4.3999999999999997E-2</v>
      </c>
      <c r="X9" s="153"/>
      <c r="Y9" s="153"/>
      <c r="Z9" s="153"/>
      <c r="AA9" s="153"/>
      <c r="AB9" s="160"/>
      <c r="AC9" s="58" t="s">
        <v>67</v>
      </c>
      <c r="AD9" s="59">
        <f>AD8*35.314</f>
        <v>988.79200000000003</v>
      </c>
      <c r="AE9" s="159"/>
    </row>
    <row r="10" spans="1:31" x14ac:dyDescent="0.2">
      <c r="A10" s="65">
        <v>43547</v>
      </c>
      <c r="B10" s="58">
        <v>1305</v>
      </c>
      <c r="C10" s="58">
        <v>28</v>
      </c>
      <c r="D10" s="58">
        <v>-2.2000000000000002</v>
      </c>
      <c r="E10" s="58">
        <v>-18</v>
      </c>
      <c r="F10" s="58">
        <v>3.43</v>
      </c>
      <c r="G10" s="58">
        <v>227</v>
      </c>
      <c r="H10" s="58">
        <v>2.19</v>
      </c>
      <c r="I10" s="58">
        <f t="shared" si="0"/>
        <v>43200</v>
      </c>
      <c r="J10" s="59">
        <f t="shared" si="1"/>
        <v>135179.73000000001</v>
      </c>
      <c r="K10" s="58">
        <f t="shared" si="2"/>
        <v>296235</v>
      </c>
      <c r="L10" s="59">
        <f t="shared" si="3"/>
        <v>45155.61</v>
      </c>
      <c r="M10" s="59">
        <f t="shared" si="5"/>
        <v>11.031720833333333</v>
      </c>
      <c r="N10" s="59">
        <v>5.22</v>
      </c>
      <c r="O10" s="59">
        <f t="shared" si="4"/>
        <v>16.251720833333334</v>
      </c>
      <c r="P10" s="66"/>
      <c r="Q10" s="152" t="s">
        <v>29</v>
      </c>
      <c r="R10" s="152">
        <v>-32</v>
      </c>
      <c r="S10" s="152">
        <v>-32</v>
      </c>
      <c r="T10" s="152">
        <f>4*3.5</f>
        <v>14</v>
      </c>
      <c r="U10" s="58" t="s">
        <v>42</v>
      </c>
      <c r="V10" s="58">
        <v>0.01</v>
      </c>
      <c r="W10" s="58">
        <v>0.04</v>
      </c>
      <c r="X10" s="153">
        <v>0.60599999999999998</v>
      </c>
      <c r="Y10" s="153">
        <v>0.154</v>
      </c>
      <c r="Z10" s="153">
        <f>1/(X10+(V10/W10)+(V11/W11)+(V12/W12)+Y10)</f>
        <v>0.38764242922588976</v>
      </c>
      <c r="AA10" s="158">
        <f>T10*Z10*(R10-S10)</f>
        <v>0</v>
      </c>
      <c r="AB10" s="160"/>
      <c r="AC10" s="58" t="s">
        <v>61</v>
      </c>
      <c r="AD10" s="58">
        <v>13.5</v>
      </c>
      <c r="AE10" s="159"/>
    </row>
    <row r="11" spans="1:31" x14ac:dyDescent="0.2">
      <c r="A11" s="65">
        <v>43548</v>
      </c>
      <c r="B11" s="58">
        <v>1006</v>
      </c>
      <c r="C11" s="58">
        <v>27</v>
      </c>
      <c r="D11" s="58">
        <v>-2.2000000000000002</v>
      </c>
      <c r="E11" s="58">
        <v>-18</v>
      </c>
      <c r="F11" s="58">
        <v>3.43</v>
      </c>
      <c r="G11" s="58">
        <v>227</v>
      </c>
      <c r="H11" s="58">
        <v>2.19</v>
      </c>
      <c r="I11" s="58">
        <f t="shared" si="0"/>
        <v>43200</v>
      </c>
      <c r="J11" s="59">
        <f t="shared" si="1"/>
        <v>100756.936</v>
      </c>
      <c r="K11" s="58">
        <f t="shared" si="2"/>
        <v>228362</v>
      </c>
      <c r="L11" s="59">
        <f t="shared" si="3"/>
        <v>34809.612000000001</v>
      </c>
      <c r="M11" s="59">
        <f t="shared" si="5"/>
        <v>8.4242719444444454</v>
      </c>
      <c r="N11" s="59">
        <v>5.22</v>
      </c>
      <c r="O11" s="59">
        <f t="shared" si="4"/>
        <v>13.644271944444444</v>
      </c>
      <c r="P11" s="66"/>
      <c r="Q11" s="152"/>
      <c r="R11" s="152"/>
      <c r="S11" s="152"/>
      <c r="T11" s="152"/>
      <c r="U11" s="58" t="s">
        <v>43</v>
      </c>
      <c r="V11" s="59">
        <v>6.5000000000000002E-2</v>
      </c>
      <c r="W11" s="58">
        <v>0.15</v>
      </c>
      <c r="X11" s="153"/>
      <c r="Y11" s="153"/>
      <c r="Z11" s="153"/>
      <c r="AA11" s="158"/>
      <c r="AB11" s="160"/>
      <c r="AC11" s="58" t="s">
        <v>66</v>
      </c>
      <c r="AD11" s="58">
        <v>-32</v>
      </c>
      <c r="AE11" s="159"/>
    </row>
    <row r="12" spans="1:31" x14ac:dyDescent="0.2">
      <c r="A12" s="74">
        <v>43549</v>
      </c>
      <c r="B12" s="58">
        <v>3788</v>
      </c>
      <c r="C12" s="58">
        <v>28</v>
      </c>
      <c r="D12" s="58">
        <v>-2.2000000000000002</v>
      </c>
      <c r="E12" s="58">
        <v>-18</v>
      </c>
      <c r="F12" s="58">
        <v>3.43</v>
      </c>
      <c r="G12" s="58">
        <v>227</v>
      </c>
      <c r="H12" s="58">
        <v>2.19</v>
      </c>
      <c r="I12" s="58">
        <f t="shared" si="0"/>
        <v>43200</v>
      </c>
      <c r="J12" s="59">
        <f t="shared" si="1"/>
        <v>392383.76799999998</v>
      </c>
      <c r="K12" s="58">
        <f t="shared" si="2"/>
        <v>859876</v>
      </c>
      <c r="L12" s="59">
        <f t="shared" si="3"/>
        <v>131072.37599999999</v>
      </c>
      <c r="M12" s="59">
        <f t="shared" si="5"/>
        <v>32.021577407407406</v>
      </c>
      <c r="N12" s="59">
        <v>5.22</v>
      </c>
      <c r="O12" s="59">
        <f t="shared" si="4"/>
        <v>37.241577407407405</v>
      </c>
      <c r="P12" s="66"/>
      <c r="Q12" s="152"/>
      <c r="R12" s="152"/>
      <c r="S12" s="152"/>
      <c r="T12" s="152"/>
      <c r="U12" s="58" t="s">
        <v>44</v>
      </c>
      <c r="V12" s="58">
        <v>0.05</v>
      </c>
      <c r="W12" s="59">
        <v>4.3999999999999997E-2</v>
      </c>
      <c r="X12" s="153"/>
      <c r="Y12" s="153"/>
      <c r="Z12" s="153"/>
      <c r="AA12" s="158"/>
      <c r="AB12" s="160"/>
      <c r="AC12" s="58" t="s">
        <v>62</v>
      </c>
      <c r="AD12" s="58">
        <f>4.3*0.5</f>
        <v>2.15</v>
      </c>
      <c r="AE12" s="159"/>
    </row>
    <row r="13" spans="1:31" x14ac:dyDescent="0.2">
      <c r="A13" s="74">
        <v>43550</v>
      </c>
      <c r="B13" s="58">
        <v>974</v>
      </c>
      <c r="C13" s="58">
        <v>29</v>
      </c>
      <c r="D13" s="58">
        <v>-2.2000000000000002</v>
      </c>
      <c r="E13" s="58">
        <v>-18</v>
      </c>
      <c r="F13" s="58">
        <v>3.43</v>
      </c>
      <c r="G13" s="58">
        <v>227</v>
      </c>
      <c r="H13" s="58">
        <v>2.19</v>
      </c>
      <c r="I13" s="58">
        <f t="shared" si="0"/>
        <v>43200</v>
      </c>
      <c r="J13" s="59">
        <f t="shared" si="1"/>
        <v>104233.584</v>
      </c>
      <c r="K13" s="58">
        <f t="shared" si="2"/>
        <v>221098</v>
      </c>
      <c r="L13" s="59">
        <f t="shared" si="3"/>
        <v>33702.347999999998</v>
      </c>
      <c r="M13" s="59">
        <f t="shared" si="5"/>
        <v>8.3109706481481496</v>
      </c>
      <c r="N13" s="59">
        <v>5.22</v>
      </c>
      <c r="O13" s="59">
        <v>33.51</v>
      </c>
      <c r="P13" s="66"/>
      <c r="Q13" s="152" t="s">
        <v>30</v>
      </c>
      <c r="R13" s="152">
        <v>33</v>
      </c>
      <c r="S13" s="152">
        <v>-32</v>
      </c>
      <c r="T13" s="152">
        <f>4*2</f>
        <v>8</v>
      </c>
      <c r="U13" s="58" t="s">
        <v>42</v>
      </c>
      <c r="V13" s="58">
        <v>0.01</v>
      </c>
      <c r="W13" s="58">
        <v>0.04</v>
      </c>
      <c r="X13" s="153">
        <v>0.60599999999999998</v>
      </c>
      <c r="Y13" s="153">
        <v>0.154</v>
      </c>
      <c r="Z13" s="153">
        <f>1/(X13+(V13/W13)+(V14/W14)+(V15/W15)+Y13)</f>
        <v>0.41441667713173425</v>
      </c>
      <c r="AA13" s="153">
        <f>T13*Z13*(R13-S13)</f>
        <v>215.4966721085018</v>
      </c>
      <c r="AB13" s="160"/>
      <c r="AC13" s="67" t="s">
        <v>68</v>
      </c>
      <c r="AD13" s="59">
        <f>(AD9*AD10*AD12)/24</f>
        <v>1195.8203249999999</v>
      </c>
      <c r="AE13" s="159"/>
    </row>
    <row r="14" spans="1:31" x14ac:dyDescent="0.2">
      <c r="A14" s="74">
        <v>43551</v>
      </c>
      <c r="B14" s="58">
        <v>3316</v>
      </c>
      <c r="C14" s="58">
        <v>29</v>
      </c>
      <c r="D14" s="58">
        <v>-2.2000000000000002</v>
      </c>
      <c r="E14" s="58">
        <v>-18</v>
      </c>
      <c r="F14" s="58">
        <v>3.43</v>
      </c>
      <c r="G14" s="58">
        <v>227</v>
      </c>
      <c r="H14" s="58">
        <v>2.19</v>
      </c>
      <c r="I14" s="58">
        <f t="shared" si="0"/>
        <v>43200</v>
      </c>
      <c r="J14" s="59">
        <f t="shared" si="1"/>
        <v>354865.05599999998</v>
      </c>
      <c r="K14" s="58">
        <f t="shared" si="2"/>
        <v>752732</v>
      </c>
      <c r="L14" s="59">
        <f t="shared" si="3"/>
        <v>114740.232</v>
      </c>
      <c r="M14" s="59">
        <f t="shared" si="5"/>
        <v>28.29484462962963</v>
      </c>
      <c r="N14" s="59">
        <v>5.22</v>
      </c>
      <c r="O14" s="59">
        <f t="shared" si="4"/>
        <v>33.514844629629629</v>
      </c>
      <c r="P14" s="66"/>
      <c r="Q14" s="152"/>
      <c r="R14" s="152"/>
      <c r="S14" s="152"/>
      <c r="T14" s="152"/>
      <c r="U14" s="58" t="s">
        <v>43</v>
      </c>
      <c r="V14" s="58">
        <v>0.04</v>
      </c>
      <c r="W14" s="58">
        <v>0.15</v>
      </c>
      <c r="X14" s="153"/>
      <c r="Y14" s="153"/>
      <c r="Z14" s="153"/>
      <c r="AA14" s="153"/>
      <c r="AB14" s="160"/>
      <c r="AC14" s="67" t="s">
        <v>138</v>
      </c>
      <c r="AD14" s="59">
        <f>AD13/1000</f>
        <v>1.1958203249999999</v>
      </c>
      <c r="AE14" s="159"/>
    </row>
    <row r="15" spans="1:31" x14ac:dyDescent="0.2">
      <c r="A15" s="65">
        <v>43555</v>
      </c>
      <c r="B15" s="58">
        <v>1395</v>
      </c>
      <c r="C15" s="58">
        <v>28</v>
      </c>
      <c r="D15" s="58">
        <v>-2.2000000000000002</v>
      </c>
      <c r="E15" s="58">
        <v>-18</v>
      </c>
      <c r="F15" s="58">
        <v>3.43</v>
      </c>
      <c r="G15" s="58">
        <v>227</v>
      </c>
      <c r="H15" s="58">
        <v>2.19</v>
      </c>
      <c r="I15" s="58">
        <f t="shared" si="0"/>
        <v>43200</v>
      </c>
      <c r="J15" s="59">
        <f t="shared" si="1"/>
        <v>144502.47</v>
      </c>
      <c r="K15" s="58">
        <f t="shared" si="2"/>
        <v>316665</v>
      </c>
      <c r="L15" s="59">
        <f t="shared" si="3"/>
        <v>48269.79</v>
      </c>
      <c r="M15" s="59">
        <f>(J15+K15+L15)/I15</f>
        <v>11.792529166666666</v>
      </c>
      <c r="N15" s="59">
        <v>5.22</v>
      </c>
      <c r="O15" s="59">
        <f t="shared" si="4"/>
        <v>17.012529166666667</v>
      </c>
      <c r="P15" s="66"/>
      <c r="Q15" s="152"/>
      <c r="R15" s="152"/>
      <c r="S15" s="152"/>
      <c r="T15" s="152"/>
      <c r="U15" s="58" t="s">
        <v>44</v>
      </c>
      <c r="V15" s="58">
        <v>0.05</v>
      </c>
      <c r="W15" s="59">
        <v>4.3999999999999997E-2</v>
      </c>
      <c r="X15" s="153"/>
      <c r="Y15" s="153"/>
      <c r="Z15" s="153"/>
      <c r="AA15" s="153"/>
      <c r="AB15" s="160"/>
      <c r="AC15" s="152" t="s">
        <v>59</v>
      </c>
      <c r="AD15" s="152"/>
      <c r="AE15" s="159"/>
    </row>
    <row r="16" spans="1:31" x14ac:dyDescent="0.2">
      <c r="A16" s="65">
        <v>43556</v>
      </c>
      <c r="B16" s="58">
        <v>2308</v>
      </c>
      <c r="C16" s="58">
        <v>28</v>
      </c>
      <c r="D16" s="58">
        <v>-2.2000000000000002</v>
      </c>
      <c r="E16" s="58">
        <v>-18</v>
      </c>
      <c r="F16" s="58">
        <v>3.43</v>
      </c>
      <c r="G16" s="58">
        <v>227</v>
      </c>
      <c r="H16" s="58">
        <v>2.19</v>
      </c>
      <c r="I16" s="58">
        <f t="shared" si="0"/>
        <v>43200</v>
      </c>
      <c r="J16" s="59">
        <f t="shared" si="1"/>
        <v>239076.48799999998</v>
      </c>
      <c r="K16" s="58">
        <f t="shared" si="2"/>
        <v>523916</v>
      </c>
      <c r="L16" s="59">
        <f t="shared" si="3"/>
        <v>79861.415999999997</v>
      </c>
      <c r="M16" s="59">
        <f t="shared" si="5"/>
        <v>19.510507037037037</v>
      </c>
      <c r="N16" s="59">
        <v>5.22</v>
      </c>
      <c r="O16" s="59">
        <f t="shared" si="4"/>
        <v>24.730507037037036</v>
      </c>
      <c r="P16" s="66"/>
      <c r="Q16" s="152" t="s">
        <v>31</v>
      </c>
      <c r="R16" s="152">
        <v>50</v>
      </c>
      <c r="S16" s="152">
        <v>-32</v>
      </c>
      <c r="T16" s="152">
        <f>4*2</f>
        <v>8</v>
      </c>
      <c r="U16" s="58" t="s">
        <v>42</v>
      </c>
      <c r="V16" s="58">
        <v>0.01</v>
      </c>
      <c r="W16" s="58">
        <v>0.04</v>
      </c>
      <c r="X16" s="153">
        <v>0.60599999999999998</v>
      </c>
      <c r="Y16" s="153">
        <v>0.154</v>
      </c>
      <c r="Z16" s="153">
        <f>1/(X16+(V16/W16)+(V17/W17)+(V18/W18)+Y16)</f>
        <v>0.41441667713173425</v>
      </c>
      <c r="AA16" s="153">
        <f>T16*Z16*(R16-S16)</f>
        <v>271.85734019841766</v>
      </c>
      <c r="AB16" s="160"/>
      <c r="AC16" s="58" t="s">
        <v>134</v>
      </c>
      <c r="AD16" s="58">
        <v>-32</v>
      </c>
      <c r="AE16" s="159"/>
    </row>
    <row r="17" spans="1:31" x14ac:dyDescent="0.2">
      <c r="A17" s="74">
        <v>43557</v>
      </c>
      <c r="B17" s="58">
        <v>1701</v>
      </c>
      <c r="C17" s="58">
        <v>28</v>
      </c>
      <c r="D17" s="58">
        <v>-2.2000000000000002</v>
      </c>
      <c r="E17" s="58">
        <v>-18</v>
      </c>
      <c r="F17" s="58">
        <v>3.43</v>
      </c>
      <c r="G17" s="58">
        <v>227</v>
      </c>
      <c r="H17" s="58">
        <v>2.19</v>
      </c>
      <c r="I17" s="58">
        <f t="shared" si="0"/>
        <v>43200</v>
      </c>
      <c r="J17" s="59">
        <f t="shared" si="1"/>
        <v>176199.78599999999</v>
      </c>
      <c r="K17" s="58">
        <f t="shared" si="2"/>
        <v>386127</v>
      </c>
      <c r="L17" s="59">
        <f t="shared" si="3"/>
        <v>58858.002000000008</v>
      </c>
      <c r="M17" s="59">
        <f t="shared" si="5"/>
        <v>14.379277499999999</v>
      </c>
      <c r="N17" s="59">
        <v>5.22</v>
      </c>
      <c r="O17" s="59">
        <f t="shared" si="4"/>
        <v>19.599277499999999</v>
      </c>
      <c r="P17" s="66"/>
      <c r="Q17" s="152"/>
      <c r="R17" s="152"/>
      <c r="S17" s="152"/>
      <c r="T17" s="152"/>
      <c r="U17" s="58" t="s">
        <v>43</v>
      </c>
      <c r="V17" s="58">
        <v>0.04</v>
      </c>
      <c r="W17" s="58">
        <v>0.15</v>
      </c>
      <c r="X17" s="153"/>
      <c r="Y17" s="153"/>
      <c r="Z17" s="153"/>
      <c r="AA17" s="153"/>
      <c r="AB17" s="160"/>
      <c r="AC17" s="58" t="s">
        <v>58</v>
      </c>
      <c r="AD17" s="58">
        <v>2</v>
      </c>
      <c r="AE17" s="159"/>
    </row>
    <row r="18" spans="1:31" x14ac:dyDescent="0.2">
      <c r="A18" s="65">
        <v>43563</v>
      </c>
      <c r="B18" s="58">
        <v>984</v>
      </c>
      <c r="C18" s="58">
        <v>28</v>
      </c>
      <c r="D18" s="58">
        <v>-2.2000000000000002</v>
      </c>
      <c r="E18" s="58">
        <v>-18</v>
      </c>
      <c r="F18" s="58">
        <v>3.43</v>
      </c>
      <c r="G18" s="58">
        <v>227</v>
      </c>
      <c r="H18" s="58">
        <v>2.19</v>
      </c>
      <c r="I18" s="58">
        <f t="shared" si="0"/>
        <v>43200</v>
      </c>
      <c r="J18" s="59">
        <f t="shared" si="1"/>
        <v>101928.624</v>
      </c>
      <c r="K18" s="58">
        <f t="shared" si="2"/>
        <v>223368</v>
      </c>
      <c r="L18" s="59">
        <f t="shared" si="3"/>
        <v>34048.368000000002</v>
      </c>
      <c r="M18" s="59">
        <f t="shared" si="5"/>
        <v>8.318171111111111</v>
      </c>
      <c r="N18" s="59">
        <v>5.22</v>
      </c>
      <c r="O18" s="59">
        <f t="shared" si="4"/>
        <v>13.538171111111112</v>
      </c>
      <c r="P18" s="66"/>
      <c r="Q18" s="152"/>
      <c r="R18" s="152"/>
      <c r="S18" s="152"/>
      <c r="T18" s="152"/>
      <c r="U18" s="58" t="s">
        <v>44</v>
      </c>
      <c r="V18" s="58">
        <v>0.05</v>
      </c>
      <c r="W18" s="59">
        <v>4.3999999999999997E-2</v>
      </c>
      <c r="X18" s="153"/>
      <c r="Y18" s="153"/>
      <c r="Z18" s="153"/>
      <c r="AA18" s="153"/>
      <c r="AB18" s="160"/>
      <c r="AC18" s="67" t="s">
        <v>75</v>
      </c>
      <c r="AD18" s="59">
        <f>2*(272-6*(-32))/1000</f>
        <v>0.92800000000000005</v>
      </c>
      <c r="AE18" s="159"/>
    </row>
    <row r="19" spans="1:31" x14ac:dyDescent="0.2">
      <c r="A19" s="65">
        <v>43565</v>
      </c>
      <c r="B19" s="58">
        <v>3576</v>
      </c>
      <c r="C19" s="58">
        <v>28</v>
      </c>
      <c r="D19" s="58">
        <v>-2.2000000000000002</v>
      </c>
      <c r="E19" s="58">
        <v>-18</v>
      </c>
      <c r="F19" s="58">
        <v>3.43</v>
      </c>
      <c r="G19" s="58">
        <v>227</v>
      </c>
      <c r="H19" s="58">
        <v>2.19</v>
      </c>
      <c r="I19" s="58">
        <f t="shared" si="0"/>
        <v>43200</v>
      </c>
      <c r="J19" s="59">
        <f t="shared" si="1"/>
        <v>370423.53600000002</v>
      </c>
      <c r="K19" s="58">
        <f t="shared" si="2"/>
        <v>811752</v>
      </c>
      <c r="L19" s="59">
        <f t="shared" si="3"/>
        <v>123736.75200000001</v>
      </c>
      <c r="M19" s="59">
        <f t="shared" si="5"/>
        <v>30.229451111111114</v>
      </c>
      <c r="N19" s="59">
        <v>5.22</v>
      </c>
      <c r="O19" s="59">
        <f t="shared" si="4"/>
        <v>35.449451111111117</v>
      </c>
      <c r="P19" s="66"/>
      <c r="Q19" s="152" t="s">
        <v>32</v>
      </c>
      <c r="R19" s="152">
        <v>50</v>
      </c>
      <c r="S19" s="152">
        <v>-32</v>
      </c>
      <c r="T19" s="152">
        <f>0.6*0.7</f>
        <v>0.42</v>
      </c>
      <c r="U19" s="58" t="s">
        <v>42</v>
      </c>
      <c r="V19" s="58">
        <v>0.02</v>
      </c>
      <c r="W19" s="58">
        <v>0.04</v>
      </c>
      <c r="X19" s="153">
        <v>0.60599999999999998</v>
      </c>
      <c r="Y19" s="153">
        <v>0.154</v>
      </c>
      <c r="Z19" s="153">
        <f>1/(X19+(V19/W19)+(V20/W20)+Y19)</f>
        <v>0.21417445482866043</v>
      </c>
      <c r="AA19" s="153">
        <f>T19*Z19*(R19-S19)</f>
        <v>7.3761682242990654</v>
      </c>
      <c r="AB19" s="160"/>
      <c r="AC19" s="152" t="s">
        <v>63</v>
      </c>
      <c r="AD19" s="152"/>
      <c r="AE19" s="159"/>
    </row>
    <row r="20" spans="1:31" x14ac:dyDescent="0.2">
      <c r="A20" s="74">
        <v>43566</v>
      </c>
      <c r="B20" s="58">
        <v>1200</v>
      </c>
      <c r="C20" s="58">
        <v>28</v>
      </c>
      <c r="D20" s="58">
        <v>-2.2000000000000002</v>
      </c>
      <c r="E20" s="58">
        <v>-18</v>
      </c>
      <c r="F20" s="58">
        <v>3.43</v>
      </c>
      <c r="G20" s="58">
        <v>227</v>
      </c>
      <c r="H20" s="58">
        <v>2.19</v>
      </c>
      <c r="I20" s="58">
        <f t="shared" si="0"/>
        <v>43200</v>
      </c>
      <c r="J20" s="59">
        <f t="shared" si="1"/>
        <v>124303.20000000001</v>
      </c>
      <c r="K20" s="58">
        <f t="shared" si="2"/>
        <v>272400</v>
      </c>
      <c r="L20" s="59">
        <f t="shared" si="3"/>
        <v>41522.400000000001</v>
      </c>
      <c r="M20" s="59">
        <f t="shared" si="5"/>
        <v>10.144111111111112</v>
      </c>
      <c r="N20" s="59">
        <v>5.22</v>
      </c>
      <c r="O20" s="59">
        <f t="shared" si="4"/>
        <v>15.364111111111111</v>
      </c>
      <c r="P20" s="66"/>
      <c r="Q20" s="152"/>
      <c r="R20" s="152"/>
      <c r="S20" s="152"/>
      <c r="T20" s="152"/>
      <c r="U20" s="58" t="s">
        <v>44</v>
      </c>
      <c r="V20" s="58">
        <v>0.15</v>
      </c>
      <c r="W20" s="59">
        <v>4.3999999999999997E-2</v>
      </c>
      <c r="X20" s="153"/>
      <c r="Y20" s="153"/>
      <c r="Z20" s="153"/>
      <c r="AA20" s="153"/>
      <c r="AB20" s="160"/>
      <c r="AC20" s="152" t="s">
        <v>56</v>
      </c>
      <c r="AD20" s="152"/>
      <c r="AE20" s="159"/>
    </row>
    <row r="21" spans="1:31" x14ac:dyDescent="0.2">
      <c r="A21" s="74">
        <v>43568</v>
      </c>
      <c r="B21" s="58">
        <v>3716</v>
      </c>
      <c r="C21" s="58">
        <v>28</v>
      </c>
      <c r="D21" s="58">
        <v>-2.2000000000000002</v>
      </c>
      <c r="E21" s="58">
        <v>-18</v>
      </c>
      <c r="F21" s="58">
        <v>3.43</v>
      </c>
      <c r="G21" s="58">
        <v>227</v>
      </c>
      <c r="H21" s="58">
        <v>2.19</v>
      </c>
      <c r="I21" s="58">
        <f t="shared" si="0"/>
        <v>43200</v>
      </c>
      <c r="J21" s="59">
        <f t="shared" si="1"/>
        <v>384925.576</v>
      </c>
      <c r="K21" s="58">
        <f t="shared" si="2"/>
        <v>843532</v>
      </c>
      <c r="L21" s="59">
        <f t="shared" si="3"/>
        <v>128581.03200000001</v>
      </c>
      <c r="M21" s="59">
        <f t="shared" si="5"/>
        <v>31.412930740740741</v>
      </c>
      <c r="N21" s="59">
        <v>5.22</v>
      </c>
      <c r="O21" s="59">
        <f t="shared" si="4"/>
        <v>36.63293074074074</v>
      </c>
      <c r="P21" s="66"/>
      <c r="Q21" s="152" t="s">
        <v>9</v>
      </c>
      <c r="R21" s="152">
        <v>57</v>
      </c>
      <c r="S21" s="152">
        <v>-32</v>
      </c>
      <c r="T21" s="152">
        <f>3.5*2</f>
        <v>7</v>
      </c>
      <c r="U21" s="58" t="s">
        <v>42</v>
      </c>
      <c r="V21" s="58">
        <v>0.01</v>
      </c>
      <c r="W21" s="58">
        <v>0.04</v>
      </c>
      <c r="X21" s="153">
        <v>0.60599999999999998</v>
      </c>
      <c r="Y21" s="153">
        <v>0.154</v>
      </c>
      <c r="Z21" s="153">
        <f>1/(X21+(V21/W21)+(V22/W22)+(V23/W23)+Y21)</f>
        <v>0.41441667713173425</v>
      </c>
      <c r="AA21" s="153">
        <f>T21*Z21*(R21-S21)</f>
        <v>258.18158985307042</v>
      </c>
      <c r="AB21" s="160"/>
      <c r="AC21" s="58" t="s">
        <v>58</v>
      </c>
      <c r="AD21" s="58">
        <v>2</v>
      </c>
      <c r="AE21" s="159"/>
    </row>
    <row r="22" spans="1:31" x14ac:dyDescent="0.2">
      <c r="Q22" s="152"/>
      <c r="R22" s="152"/>
      <c r="S22" s="152"/>
      <c r="T22" s="152"/>
      <c r="U22" s="58" t="s">
        <v>43</v>
      </c>
      <c r="V22" s="58">
        <v>0.04</v>
      </c>
      <c r="W22" s="58">
        <v>0.15</v>
      </c>
      <c r="X22" s="153"/>
      <c r="Y22" s="153"/>
      <c r="Z22" s="153"/>
      <c r="AA22" s="153"/>
      <c r="AB22" s="160"/>
      <c r="AC22" s="58" t="s">
        <v>70</v>
      </c>
      <c r="AD22" s="59">
        <f>12/1000</f>
        <v>1.2E-2</v>
      </c>
      <c r="AE22" s="159"/>
    </row>
    <row r="23" spans="1:31" x14ac:dyDescent="0.2">
      <c r="Q23" s="152"/>
      <c r="R23" s="152"/>
      <c r="S23" s="152"/>
      <c r="T23" s="152"/>
      <c r="U23" s="58" t="s">
        <v>44</v>
      </c>
      <c r="V23" s="58">
        <v>0.05</v>
      </c>
      <c r="W23" s="59">
        <v>4.3999999999999997E-2</v>
      </c>
      <c r="X23" s="153"/>
      <c r="Y23" s="153"/>
      <c r="Z23" s="153"/>
      <c r="AA23" s="153"/>
      <c r="AB23" s="160"/>
      <c r="AC23" s="58" t="s">
        <v>71</v>
      </c>
      <c r="AD23" s="61">
        <v>12</v>
      </c>
      <c r="AE23" s="159"/>
    </row>
    <row r="24" spans="1:31" x14ac:dyDescent="0.2">
      <c r="Q24" s="152" t="s">
        <v>8</v>
      </c>
      <c r="R24" s="152">
        <v>57</v>
      </c>
      <c r="S24" s="152">
        <v>-32</v>
      </c>
      <c r="T24" s="152">
        <f>3.5*2</f>
        <v>7</v>
      </c>
      <c r="U24" s="58" t="s">
        <v>42</v>
      </c>
      <c r="V24" s="58">
        <v>0.01</v>
      </c>
      <c r="W24" s="58">
        <v>0.04</v>
      </c>
      <c r="X24" s="153">
        <v>0.60599999999999998</v>
      </c>
      <c r="Y24" s="153">
        <v>0.154</v>
      </c>
      <c r="Z24" s="153">
        <f>1/(X24+(V24/W24)+(V25/W25)+(V26/W26)+Y24)</f>
        <v>0.41441667713173425</v>
      </c>
      <c r="AA24" s="153">
        <f>T24*Z24*(R24-S24)</f>
        <v>258.18158985307042</v>
      </c>
      <c r="AB24" s="160"/>
      <c r="AC24" s="67" t="s">
        <v>72</v>
      </c>
      <c r="AD24" s="59">
        <f>AD21*AD22*AD23/24</f>
        <v>1.2000000000000002E-2</v>
      </c>
      <c r="AE24" s="159"/>
    </row>
    <row r="25" spans="1:31" s="47" customFormat="1" x14ac:dyDescent="0.2">
      <c r="Q25" s="152"/>
      <c r="R25" s="152"/>
      <c r="S25" s="152"/>
      <c r="T25" s="152"/>
      <c r="U25" s="58" t="s">
        <v>43</v>
      </c>
      <c r="V25" s="58">
        <v>0.04</v>
      </c>
      <c r="W25" s="58">
        <v>0.15</v>
      </c>
      <c r="X25" s="153"/>
      <c r="Y25" s="153"/>
      <c r="Z25" s="153"/>
      <c r="AA25" s="153"/>
      <c r="AB25" s="160"/>
      <c r="AC25" s="152" t="s">
        <v>57</v>
      </c>
      <c r="AD25" s="152"/>
      <c r="AE25" s="159"/>
    </row>
    <row r="26" spans="1:31" x14ac:dyDescent="0.2">
      <c r="Q26" s="152"/>
      <c r="R26" s="152"/>
      <c r="S26" s="152"/>
      <c r="T26" s="152"/>
      <c r="U26" s="58" t="s">
        <v>44</v>
      </c>
      <c r="V26" s="58">
        <v>0.05</v>
      </c>
      <c r="W26" s="59">
        <v>4.3999999999999997E-2</v>
      </c>
      <c r="X26" s="153"/>
      <c r="Y26" s="153"/>
      <c r="Z26" s="153"/>
      <c r="AA26" s="153"/>
      <c r="AB26" s="160"/>
      <c r="AC26" s="58" t="s">
        <v>64</v>
      </c>
      <c r="AD26" s="58">
        <v>460</v>
      </c>
      <c r="AE26" s="159"/>
    </row>
    <row r="27" spans="1:31" x14ac:dyDescent="0.2">
      <c r="AC27" s="58" t="s">
        <v>73</v>
      </c>
      <c r="AD27" s="58">
        <v>776</v>
      </c>
      <c r="AE27" s="159"/>
    </row>
    <row r="28" spans="1:31" x14ac:dyDescent="0.2">
      <c r="AC28" s="58" t="s">
        <v>58</v>
      </c>
      <c r="AD28" s="58">
        <v>2</v>
      </c>
      <c r="AE28" s="159"/>
    </row>
    <row r="29" spans="1:31" x14ac:dyDescent="0.2">
      <c r="AC29" s="67" t="s">
        <v>74</v>
      </c>
      <c r="AD29" s="59">
        <f>(AD27*AD28)/1000</f>
        <v>1.552</v>
      </c>
      <c r="AE29" s="159"/>
    </row>
  </sheetData>
  <mergeCells count="71">
    <mergeCell ref="AE7:AE29"/>
    <mergeCell ref="AA24:AA26"/>
    <mergeCell ref="AB7:AB26"/>
    <mergeCell ref="Q4:AB4"/>
    <mergeCell ref="Z24:Z26"/>
    <mergeCell ref="X13:X15"/>
    <mergeCell ref="Q19:Q20"/>
    <mergeCell ref="R19:R20"/>
    <mergeCell ref="Q21:Q23"/>
    <mergeCell ref="AA16:AA18"/>
    <mergeCell ref="AA19:AA20"/>
    <mergeCell ref="AA21:AA23"/>
    <mergeCell ref="X21:X23"/>
    <mergeCell ref="Y21:Y23"/>
    <mergeCell ref="R16:R18"/>
    <mergeCell ref="Z16:Z18"/>
    <mergeCell ref="Z19:Z20"/>
    <mergeCell ref="AC4:AD4"/>
    <mergeCell ref="AC19:AD19"/>
    <mergeCell ref="AC20:AD20"/>
    <mergeCell ref="AC25:AD25"/>
    <mergeCell ref="AC15:AD15"/>
    <mergeCell ref="Z21:Z23"/>
    <mergeCell ref="AA10:AA12"/>
    <mergeCell ref="AA13:AA15"/>
    <mergeCell ref="AA7:AA9"/>
    <mergeCell ref="T24:T26"/>
    <mergeCell ref="X24:X26"/>
    <mergeCell ref="Y24:Y26"/>
    <mergeCell ref="T21:T23"/>
    <mergeCell ref="S19:S20"/>
    <mergeCell ref="T19:T20"/>
    <mergeCell ref="Q24:Q26"/>
    <mergeCell ref="R21:R23"/>
    <mergeCell ref="R24:R26"/>
    <mergeCell ref="S21:S23"/>
    <mergeCell ref="S24:S26"/>
    <mergeCell ref="X19:X20"/>
    <mergeCell ref="S10:S12"/>
    <mergeCell ref="S13:S15"/>
    <mergeCell ref="X10:X12"/>
    <mergeCell ref="Y19:Y20"/>
    <mergeCell ref="Q3:AB3"/>
    <mergeCell ref="Y10:Y12"/>
    <mergeCell ref="Y13:Y15"/>
    <mergeCell ref="A3:O3"/>
    <mergeCell ref="X16:X18"/>
    <mergeCell ref="A4:A5"/>
    <mergeCell ref="Q13:Q15"/>
    <mergeCell ref="T7:T9"/>
    <mergeCell ref="S7:S9"/>
    <mergeCell ref="R7:R9"/>
    <mergeCell ref="Q10:Q12"/>
    <mergeCell ref="T10:T12"/>
    <mergeCell ref="R10:R12"/>
    <mergeCell ref="Q16:Q18"/>
    <mergeCell ref="T13:T15"/>
    <mergeCell ref="T16:T18"/>
    <mergeCell ref="Z7:Z9"/>
    <mergeCell ref="V5:V6"/>
    <mergeCell ref="W5:W6"/>
    <mergeCell ref="Y7:Y9"/>
    <mergeCell ref="R13:R15"/>
    <mergeCell ref="Q7:Q9"/>
    <mergeCell ref="Y16:Y18"/>
    <mergeCell ref="Q5:Q6"/>
    <mergeCell ref="U5:U6"/>
    <mergeCell ref="X7:X9"/>
    <mergeCell ref="Z10:Z12"/>
    <mergeCell ref="Z13:Z15"/>
    <mergeCell ref="S16:S18"/>
  </mergeCells>
  <pageMargins left="0.25" right="0.25" top="0.75" bottom="0.75" header="0.3" footer="0.3"/>
  <pageSetup paperSize="9" orientation="landscape" horizontalDpi="4294967293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E31"/>
  <sheetViews>
    <sheetView topLeftCell="H1" zoomScale="90" zoomScaleNormal="90" workbookViewId="0">
      <selection activeCell="O5" sqref="O5"/>
    </sheetView>
  </sheetViews>
  <sheetFormatPr defaultColWidth="11" defaultRowHeight="15.75" x14ac:dyDescent="0.2"/>
  <cols>
    <col min="1" max="1" width="11" style="48" customWidth="1"/>
    <col min="2" max="2" width="11" style="48"/>
    <col min="3" max="3" width="7" style="48" customWidth="1"/>
    <col min="4" max="5" width="6.875" style="48" customWidth="1"/>
    <col min="6" max="6" width="9.5" style="48" customWidth="1"/>
    <col min="7" max="7" width="7.25" style="48" customWidth="1"/>
    <col min="8" max="8" width="8.75" style="48" customWidth="1"/>
    <col min="9" max="9" width="8.625" style="48" customWidth="1"/>
    <col min="10" max="12" width="11" style="48"/>
    <col min="13" max="13" width="8.25" style="48" customWidth="1"/>
    <col min="14" max="14" width="7.5" style="48" customWidth="1"/>
    <col min="15" max="15" width="8.25" style="48" customWidth="1"/>
    <col min="16" max="28" width="11" style="48"/>
    <col min="29" max="29" width="17.75" style="48" customWidth="1"/>
    <col min="30" max="16384" width="11" style="48"/>
  </cols>
  <sheetData>
    <row r="3" spans="1:31" x14ac:dyDescent="0.2">
      <c r="A3" s="155" t="s">
        <v>161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7"/>
      <c r="Q3" s="162" t="s">
        <v>162</v>
      </c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4"/>
      <c r="AC3" s="22"/>
    </row>
    <row r="4" spans="1:31" s="47" customFormat="1" x14ac:dyDescent="0.2">
      <c r="A4" s="152" t="s">
        <v>10</v>
      </c>
      <c r="B4" s="75" t="s">
        <v>11</v>
      </c>
      <c r="C4" s="75" t="s">
        <v>106</v>
      </c>
      <c r="D4" s="75" t="s">
        <v>146</v>
      </c>
      <c r="E4" s="75" t="s">
        <v>108</v>
      </c>
      <c r="F4" s="75" t="s">
        <v>18</v>
      </c>
      <c r="G4" s="75" t="s">
        <v>20</v>
      </c>
      <c r="H4" s="75" t="s">
        <v>19</v>
      </c>
      <c r="I4" s="75" t="s">
        <v>24</v>
      </c>
      <c r="J4" s="75" t="s">
        <v>21</v>
      </c>
      <c r="K4" s="75" t="s">
        <v>22</v>
      </c>
      <c r="L4" s="75" t="s">
        <v>12</v>
      </c>
      <c r="M4" s="75" t="s">
        <v>23</v>
      </c>
      <c r="N4" s="75" t="s">
        <v>78</v>
      </c>
      <c r="O4" s="75" t="s">
        <v>135</v>
      </c>
      <c r="Q4" s="161" t="s">
        <v>33</v>
      </c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52" t="s">
        <v>60</v>
      </c>
      <c r="AD4" s="152"/>
      <c r="AE4" s="48"/>
    </row>
    <row r="5" spans="1:31" s="47" customFormat="1" ht="18.75" x14ac:dyDescent="0.2">
      <c r="A5" s="152"/>
      <c r="B5" s="75" t="s">
        <v>13</v>
      </c>
      <c r="C5" s="62" t="s">
        <v>14</v>
      </c>
      <c r="D5" s="62" t="s">
        <v>14</v>
      </c>
      <c r="E5" s="62" t="s">
        <v>14</v>
      </c>
      <c r="F5" s="75" t="s">
        <v>15</v>
      </c>
      <c r="G5" s="75" t="s">
        <v>16</v>
      </c>
      <c r="H5" s="75" t="s">
        <v>15</v>
      </c>
      <c r="I5" s="75" t="s">
        <v>51</v>
      </c>
      <c r="J5" s="75" t="s">
        <v>17</v>
      </c>
      <c r="K5" s="75" t="s">
        <v>17</v>
      </c>
      <c r="L5" s="75" t="s">
        <v>17</v>
      </c>
      <c r="M5" s="75" t="s">
        <v>41</v>
      </c>
      <c r="N5" s="75" t="s">
        <v>41</v>
      </c>
      <c r="O5" s="75" t="s">
        <v>41</v>
      </c>
      <c r="Q5" s="152" t="s">
        <v>34</v>
      </c>
      <c r="R5" s="75" t="s">
        <v>35</v>
      </c>
      <c r="S5" s="75" t="s">
        <v>36</v>
      </c>
      <c r="T5" s="75" t="s">
        <v>25</v>
      </c>
      <c r="U5" s="152" t="s">
        <v>38</v>
      </c>
      <c r="V5" s="152" t="s">
        <v>49</v>
      </c>
      <c r="W5" s="152" t="s">
        <v>50</v>
      </c>
      <c r="X5" s="63" t="s">
        <v>45</v>
      </c>
      <c r="Y5" s="63" t="s">
        <v>46</v>
      </c>
      <c r="Z5" s="75" t="s">
        <v>26</v>
      </c>
      <c r="AA5" s="75" t="s">
        <v>27</v>
      </c>
      <c r="AB5" s="80" t="s">
        <v>27</v>
      </c>
      <c r="AC5" s="60" t="s">
        <v>53</v>
      </c>
      <c r="AD5" s="61">
        <v>3.3</v>
      </c>
      <c r="AE5" s="75" t="s">
        <v>77</v>
      </c>
    </row>
    <row r="6" spans="1:31" ht="18.75" x14ac:dyDescent="0.2">
      <c r="A6" s="65">
        <v>43527</v>
      </c>
      <c r="B6" s="78">
        <v>142</v>
      </c>
      <c r="C6" s="78">
        <v>29</v>
      </c>
      <c r="D6" s="78">
        <v>-2.2000000000000002</v>
      </c>
      <c r="E6" s="78">
        <v>-18</v>
      </c>
      <c r="F6" s="78">
        <v>3.43</v>
      </c>
      <c r="G6" s="78">
        <v>227</v>
      </c>
      <c r="H6" s="78">
        <v>2.19</v>
      </c>
      <c r="I6" s="78">
        <f>12*3600</f>
        <v>43200</v>
      </c>
      <c r="J6" s="76">
        <f>B6*(C6-D6)*F6</f>
        <v>15196.271999999999</v>
      </c>
      <c r="K6" s="76">
        <f>B6*G6</f>
        <v>32234</v>
      </c>
      <c r="L6" s="76">
        <f>B6*(D6-E6)*H6</f>
        <v>4913.4839999999995</v>
      </c>
      <c r="M6" s="76">
        <f>(J6+K6+L6)/I6</f>
        <v>1.2116610185185184</v>
      </c>
      <c r="N6" s="76">
        <v>5.04</v>
      </c>
      <c r="O6" s="76">
        <f>M6+N6</f>
        <v>6.2516610185185186</v>
      </c>
      <c r="Q6" s="152"/>
      <c r="R6" s="62" t="s">
        <v>14</v>
      </c>
      <c r="S6" s="62" t="s">
        <v>14</v>
      </c>
      <c r="T6" s="75" t="s">
        <v>37</v>
      </c>
      <c r="U6" s="152"/>
      <c r="V6" s="152"/>
      <c r="W6" s="152"/>
      <c r="X6" s="75" t="s">
        <v>48</v>
      </c>
      <c r="Y6" s="75" t="s">
        <v>47</v>
      </c>
      <c r="Z6" s="75" t="s">
        <v>40</v>
      </c>
      <c r="AA6" s="75" t="s">
        <v>39</v>
      </c>
      <c r="AB6" s="80" t="s">
        <v>41</v>
      </c>
      <c r="AC6" s="60" t="s">
        <v>54</v>
      </c>
      <c r="AD6" s="61">
        <v>3.3</v>
      </c>
      <c r="AE6" s="79" t="s">
        <v>41</v>
      </c>
    </row>
    <row r="7" spans="1:31" ht="18.75" customHeight="1" x14ac:dyDescent="0.2">
      <c r="A7" s="65">
        <v>43528</v>
      </c>
      <c r="B7" s="78">
        <v>1114</v>
      </c>
      <c r="C7" s="78">
        <v>28</v>
      </c>
      <c r="D7" s="78">
        <v>-2.2000000000000002</v>
      </c>
      <c r="E7" s="78">
        <v>-18</v>
      </c>
      <c r="F7" s="78">
        <v>3.43</v>
      </c>
      <c r="G7" s="78">
        <v>227</v>
      </c>
      <c r="H7" s="78">
        <v>2.19</v>
      </c>
      <c r="I7" s="78">
        <f t="shared" ref="I7:I27" si="0">12*3600</f>
        <v>43200</v>
      </c>
      <c r="J7" s="76">
        <f t="shared" ref="J7:J27" si="1">B7*(C7-D7)*F7</f>
        <v>115394.80399999999</v>
      </c>
      <c r="K7" s="76">
        <f t="shared" ref="K7:K27" si="2">B7*G7</f>
        <v>252878</v>
      </c>
      <c r="L7" s="76">
        <f t="shared" ref="L7:L27" si="3">B7*(D7-E7)*H7</f>
        <v>38546.628000000004</v>
      </c>
      <c r="M7" s="76">
        <f>(J7+K7+L7)/I7</f>
        <v>9.4171164814814823</v>
      </c>
      <c r="N7" s="76">
        <v>5.04</v>
      </c>
      <c r="O7" s="76">
        <f t="shared" ref="O7:O27" si="4">M7+N7</f>
        <v>14.457116481481481</v>
      </c>
      <c r="Q7" s="152" t="s">
        <v>28</v>
      </c>
      <c r="R7" s="152">
        <v>35</v>
      </c>
      <c r="S7" s="152">
        <v>-32</v>
      </c>
      <c r="T7" s="152">
        <f>3.3*3.3</f>
        <v>10.889999999999999</v>
      </c>
      <c r="U7" s="78" t="s">
        <v>42</v>
      </c>
      <c r="V7" s="78">
        <v>0.01</v>
      </c>
      <c r="W7" s="78">
        <v>0.04</v>
      </c>
      <c r="X7" s="153">
        <v>0.60599999999999998</v>
      </c>
      <c r="Y7" s="153">
        <v>0.154</v>
      </c>
      <c r="Z7" s="153">
        <f>1/(X7+(V7/W7)+(V8/W8)+(V10/W10)+(V9/W9)+Y7)</f>
        <v>0.29872060275404999</v>
      </c>
      <c r="AA7" s="153">
        <f>T7*Z7*(R7-S7)</f>
        <v>217.95551338743746</v>
      </c>
      <c r="AB7" s="160">
        <f>(AA7+AA11+AA14+AA17+AA20+AA22+AA25)/1000</f>
        <v>1.2458543841163292</v>
      </c>
      <c r="AC7" s="60" t="s">
        <v>55</v>
      </c>
      <c r="AD7" s="78">
        <v>1.9</v>
      </c>
      <c r="AE7" s="159">
        <f>$AB$7+$AD$14+$AD$20+$AD$25+$AD$30</f>
        <v>5.0409929208663291</v>
      </c>
    </row>
    <row r="8" spans="1:31" ht="15.75" customHeight="1" x14ac:dyDescent="0.2">
      <c r="A8" s="65">
        <v>43530</v>
      </c>
      <c r="B8" s="78">
        <v>1072</v>
      </c>
      <c r="C8" s="78">
        <v>28</v>
      </c>
      <c r="D8" s="78">
        <v>-2.2000000000000002</v>
      </c>
      <c r="E8" s="78">
        <v>-18</v>
      </c>
      <c r="F8" s="78">
        <v>3.43</v>
      </c>
      <c r="G8" s="78">
        <v>227</v>
      </c>
      <c r="H8" s="78">
        <v>2.19</v>
      </c>
      <c r="I8" s="78">
        <f t="shared" si="0"/>
        <v>43200</v>
      </c>
      <c r="J8" s="76">
        <f t="shared" si="1"/>
        <v>111044.192</v>
      </c>
      <c r="K8" s="76">
        <f t="shared" si="2"/>
        <v>243344</v>
      </c>
      <c r="L8" s="76">
        <f t="shared" si="3"/>
        <v>37093.344000000005</v>
      </c>
      <c r="M8" s="76">
        <f t="shared" ref="M8:M27" si="5">(J8+K8+L8)/I8</f>
        <v>9.0620725925925925</v>
      </c>
      <c r="N8" s="76">
        <v>5.04</v>
      </c>
      <c r="O8" s="76">
        <f t="shared" si="4"/>
        <v>14.102072592592592</v>
      </c>
      <c r="Q8" s="152"/>
      <c r="R8" s="152"/>
      <c r="S8" s="152"/>
      <c r="T8" s="152"/>
      <c r="U8" s="78" t="s">
        <v>43</v>
      </c>
      <c r="V8" s="78">
        <v>0.04</v>
      </c>
      <c r="W8" s="78">
        <v>0.15</v>
      </c>
      <c r="X8" s="153"/>
      <c r="Y8" s="153"/>
      <c r="Z8" s="153"/>
      <c r="AA8" s="153"/>
      <c r="AB8" s="160"/>
      <c r="AC8" s="78" t="s">
        <v>65</v>
      </c>
      <c r="AD8" s="76">
        <f>AD5*AD6*AD7</f>
        <v>20.690999999999995</v>
      </c>
      <c r="AE8" s="159"/>
    </row>
    <row r="9" spans="1:31" ht="15.75" customHeight="1" x14ac:dyDescent="0.2">
      <c r="A9" s="65">
        <v>43531</v>
      </c>
      <c r="B9" s="78">
        <v>2151</v>
      </c>
      <c r="C9" s="78">
        <v>27</v>
      </c>
      <c r="D9" s="78">
        <v>-2.2000000000000002</v>
      </c>
      <c r="E9" s="78">
        <v>-18</v>
      </c>
      <c r="F9" s="78">
        <v>3.43</v>
      </c>
      <c r="G9" s="78">
        <v>227</v>
      </c>
      <c r="H9" s="78">
        <v>2.19</v>
      </c>
      <c r="I9" s="78">
        <f t="shared" si="0"/>
        <v>43200</v>
      </c>
      <c r="J9" s="76">
        <f t="shared" si="1"/>
        <v>215435.55600000001</v>
      </c>
      <c r="K9" s="76">
        <f t="shared" si="2"/>
        <v>488277</v>
      </c>
      <c r="L9" s="76">
        <f t="shared" si="3"/>
        <v>74428.902000000002</v>
      </c>
      <c r="M9" s="76">
        <f t="shared" si="5"/>
        <v>18.012533749999999</v>
      </c>
      <c r="N9" s="76">
        <v>5.04</v>
      </c>
      <c r="O9" s="76">
        <f t="shared" si="4"/>
        <v>23.052533749999998</v>
      </c>
      <c r="Q9" s="152"/>
      <c r="R9" s="152"/>
      <c r="S9" s="152"/>
      <c r="T9" s="152"/>
      <c r="U9" s="78" t="s">
        <v>52</v>
      </c>
      <c r="V9" s="78">
        <v>0.1</v>
      </c>
      <c r="W9" s="76">
        <v>0.107</v>
      </c>
      <c r="X9" s="153"/>
      <c r="Y9" s="153"/>
      <c r="Z9" s="153"/>
      <c r="AA9" s="153"/>
      <c r="AB9" s="160"/>
      <c r="AC9" s="78" t="s">
        <v>67</v>
      </c>
      <c r="AD9" s="76">
        <f>AD8*35.314</f>
        <v>730.68197399999985</v>
      </c>
      <c r="AE9" s="159"/>
    </row>
    <row r="10" spans="1:31" ht="15.75" customHeight="1" x14ac:dyDescent="0.2">
      <c r="A10" s="74">
        <v>43532</v>
      </c>
      <c r="B10" s="78">
        <v>1349</v>
      </c>
      <c r="C10" s="78">
        <v>27</v>
      </c>
      <c r="D10" s="78">
        <v>-2.2000000000000002</v>
      </c>
      <c r="E10" s="78">
        <v>-18</v>
      </c>
      <c r="F10" s="78">
        <v>3.43</v>
      </c>
      <c r="G10" s="78">
        <v>227</v>
      </c>
      <c r="H10" s="78">
        <v>2.19</v>
      </c>
      <c r="I10" s="78">
        <f t="shared" si="0"/>
        <v>43200</v>
      </c>
      <c r="J10" s="76">
        <f t="shared" si="1"/>
        <v>135110.44399999999</v>
      </c>
      <c r="K10" s="76">
        <f t="shared" si="2"/>
        <v>306223</v>
      </c>
      <c r="L10" s="76">
        <f t="shared" si="3"/>
        <v>46678.097999999998</v>
      </c>
      <c r="M10" s="76">
        <f t="shared" si="5"/>
        <v>11.296563472222223</v>
      </c>
      <c r="N10" s="76">
        <v>5.04</v>
      </c>
      <c r="O10" s="76">
        <f t="shared" si="4"/>
        <v>16.336563472222224</v>
      </c>
      <c r="Q10" s="152"/>
      <c r="R10" s="152"/>
      <c r="S10" s="152"/>
      <c r="T10" s="152"/>
      <c r="U10" s="78" t="s">
        <v>44</v>
      </c>
      <c r="V10" s="78">
        <v>0.05</v>
      </c>
      <c r="W10" s="76">
        <v>4.3999999999999997E-2</v>
      </c>
      <c r="X10" s="153"/>
      <c r="Y10" s="153"/>
      <c r="Z10" s="153"/>
      <c r="AA10" s="153"/>
      <c r="AB10" s="160"/>
      <c r="AC10" s="78" t="s">
        <v>61</v>
      </c>
      <c r="AD10" s="78">
        <v>20</v>
      </c>
      <c r="AE10" s="159"/>
    </row>
    <row r="11" spans="1:31" ht="15.75" customHeight="1" x14ac:dyDescent="0.2">
      <c r="A11" s="74">
        <v>43534</v>
      </c>
      <c r="B11" s="78">
        <v>3460</v>
      </c>
      <c r="C11" s="78">
        <v>28</v>
      </c>
      <c r="D11" s="78">
        <v>-2.2000000000000002</v>
      </c>
      <c r="E11" s="78">
        <v>-18</v>
      </c>
      <c r="F11" s="78">
        <v>3.43</v>
      </c>
      <c r="G11" s="78">
        <v>227</v>
      </c>
      <c r="H11" s="78">
        <v>2.19</v>
      </c>
      <c r="I11" s="78">
        <f t="shared" si="0"/>
        <v>43200</v>
      </c>
      <c r="J11" s="76">
        <f t="shared" si="1"/>
        <v>358407.56</v>
      </c>
      <c r="K11" s="76">
        <f t="shared" si="2"/>
        <v>785420</v>
      </c>
      <c r="L11" s="76">
        <f t="shared" si="3"/>
        <v>119722.92</v>
      </c>
      <c r="M11" s="76">
        <f t="shared" si="5"/>
        <v>29.248853703703702</v>
      </c>
      <c r="N11" s="76">
        <v>5.04</v>
      </c>
      <c r="O11" s="76">
        <f t="shared" si="4"/>
        <v>34.288853703703701</v>
      </c>
      <c r="Q11" s="152" t="s">
        <v>29</v>
      </c>
      <c r="R11" s="152">
        <v>38</v>
      </c>
      <c r="S11" s="152">
        <v>-32</v>
      </c>
      <c r="T11" s="152">
        <f>3.3*3.3</f>
        <v>10.889999999999999</v>
      </c>
      <c r="U11" s="78" t="s">
        <v>42</v>
      </c>
      <c r="V11" s="78">
        <v>0.01</v>
      </c>
      <c r="W11" s="78">
        <v>0.04</v>
      </c>
      <c r="X11" s="153">
        <v>0.60599999999999998</v>
      </c>
      <c r="Y11" s="153">
        <v>0.154</v>
      </c>
      <c r="Z11" s="153">
        <f>1/(X11+(V11/W11)+(V12/W12)+(V13/W13)+Y11)</f>
        <v>0.38764242922588976</v>
      </c>
      <c r="AA11" s="153">
        <f>T11*Z11*(R11-S11)</f>
        <v>295.4998237988957</v>
      </c>
      <c r="AB11" s="160"/>
      <c r="AC11" s="78" t="s">
        <v>66</v>
      </c>
      <c r="AD11" s="78">
        <v>-32</v>
      </c>
      <c r="AE11" s="159"/>
    </row>
    <row r="12" spans="1:31" ht="15.75" customHeight="1" x14ac:dyDescent="0.2">
      <c r="A12" s="74">
        <v>43549</v>
      </c>
      <c r="B12" s="78">
        <v>3500</v>
      </c>
      <c r="C12" s="78">
        <v>28</v>
      </c>
      <c r="D12" s="78">
        <v>-2.2000000000000002</v>
      </c>
      <c r="E12" s="78">
        <v>-18</v>
      </c>
      <c r="F12" s="78">
        <v>3.43</v>
      </c>
      <c r="G12" s="78">
        <v>227</v>
      </c>
      <c r="H12" s="78">
        <v>2.19</v>
      </c>
      <c r="I12" s="78">
        <f t="shared" si="0"/>
        <v>43200</v>
      </c>
      <c r="J12" s="76">
        <f t="shared" si="1"/>
        <v>362551</v>
      </c>
      <c r="K12" s="76">
        <f t="shared" si="2"/>
        <v>794500</v>
      </c>
      <c r="L12" s="76">
        <f t="shared" si="3"/>
        <v>121107</v>
      </c>
      <c r="M12" s="76">
        <f t="shared" si="5"/>
        <v>29.586990740740742</v>
      </c>
      <c r="N12" s="76">
        <v>5.04</v>
      </c>
      <c r="O12" s="76">
        <f t="shared" si="4"/>
        <v>34.626990740740744</v>
      </c>
      <c r="Q12" s="152"/>
      <c r="R12" s="152"/>
      <c r="S12" s="152"/>
      <c r="T12" s="152"/>
      <c r="U12" s="78" t="s">
        <v>43</v>
      </c>
      <c r="V12" s="76">
        <v>6.5000000000000002E-2</v>
      </c>
      <c r="W12" s="78">
        <v>0.15</v>
      </c>
      <c r="X12" s="153"/>
      <c r="Y12" s="153"/>
      <c r="Z12" s="153"/>
      <c r="AA12" s="153"/>
      <c r="AB12" s="160"/>
      <c r="AC12" s="78" t="s">
        <v>62</v>
      </c>
      <c r="AD12" s="78">
        <f>4.3*0.5</f>
        <v>2.15</v>
      </c>
      <c r="AE12" s="159"/>
    </row>
    <row r="13" spans="1:31" ht="15.75" customHeight="1" x14ac:dyDescent="0.2">
      <c r="A13" s="74">
        <v>43550</v>
      </c>
      <c r="B13" s="78">
        <v>3500</v>
      </c>
      <c r="C13" s="78">
        <v>29</v>
      </c>
      <c r="D13" s="78">
        <v>-2.2000000000000002</v>
      </c>
      <c r="E13" s="78">
        <v>-18</v>
      </c>
      <c r="F13" s="78">
        <v>3.43</v>
      </c>
      <c r="G13" s="78">
        <v>227</v>
      </c>
      <c r="H13" s="78">
        <v>2.19</v>
      </c>
      <c r="I13" s="78">
        <f t="shared" si="0"/>
        <v>43200</v>
      </c>
      <c r="J13" s="76">
        <f t="shared" si="1"/>
        <v>374556</v>
      </c>
      <c r="K13" s="76">
        <f t="shared" si="2"/>
        <v>794500</v>
      </c>
      <c r="L13" s="76">
        <f>B13*(D13-E13)*H13</f>
        <v>121107</v>
      </c>
      <c r="M13" s="76">
        <f t="shared" si="5"/>
        <v>29.864884259259259</v>
      </c>
      <c r="N13" s="76">
        <v>5.04</v>
      </c>
      <c r="O13" s="76">
        <f t="shared" si="4"/>
        <v>34.904884259259262</v>
      </c>
      <c r="Q13" s="152"/>
      <c r="R13" s="152"/>
      <c r="S13" s="152"/>
      <c r="T13" s="152"/>
      <c r="U13" s="78" t="s">
        <v>44</v>
      </c>
      <c r="V13" s="78">
        <v>0.05</v>
      </c>
      <c r="W13" s="76">
        <v>4.3999999999999997E-2</v>
      </c>
      <c r="X13" s="153"/>
      <c r="Y13" s="153"/>
      <c r="Z13" s="153"/>
      <c r="AA13" s="153"/>
      <c r="AB13" s="160"/>
      <c r="AC13" s="67" t="s">
        <v>68</v>
      </c>
      <c r="AD13" s="76">
        <f>(AD9*AD10*AD12)/24</f>
        <v>1309.1385367499997</v>
      </c>
      <c r="AE13" s="159"/>
    </row>
    <row r="14" spans="1:31" ht="15.75" customHeight="1" x14ac:dyDescent="0.2">
      <c r="A14" s="74">
        <v>43551</v>
      </c>
      <c r="B14" s="78">
        <v>968</v>
      </c>
      <c r="C14" s="78">
        <v>29</v>
      </c>
      <c r="D14" s="78">
        <v>-2.2000000000000002</v>
      </c>
      <c r="E14" s="78">
        <v>-18</v>
      </c>
      <c r="F14" s="78">
        <v>3.43</v>
      </c>
      <c r="G14" s="78">
        <v>227</v>
      </c>
      <c r="H14" s="78">
        <v>2.19</v>
      </c>
      <c r="I14" s="78">
        <f t="shared" si="0"/>
        <v>43200</v>
      </c>
      <c r="J14" s="76">
        <f>B14*(C14-D14)*F14</f>
        <v>103591.488</v>
      </c>
      <c r="K14" s="76">
        <f>B14*G14</f>
        <v>219736</v>
      </c>
      <c r="L14" s="76">
        <f t="shared" si="3"/>
        <v>33494.736000000004</v>
      </c>
      <c r="M14" s="76">
        <f>(J14+K14+L14)/I14</f>
        <v>8.2597737037037042</v>
      </c>
      <c r="N14" s="76">
        <v>5.04</v>
      </c>
      <c r="O14" s="76">
        <f t="shared" si="4"/>
        <v>13.299773703703703</v>
      </c>
      <c r="Q14" s="152" t="s">
        <v>30</v>
      </c>
      <c r="R14" s="152">
        <v>38</v>
      </c>
      <c r="S14" s="152">
        <v>-32</v>
      </c>
      <c r="T14" s="152">
        <f>3.3*1.9</f>
        <v>6.27</v>
      </c>
      <c r="U14" s="78" t="s">
        <v>42</v>
      </c>
      <c r="V14" s="78">
        <v>0.01</v>
      </c>
      <c r="W14" s="76">
        <v>0.04</v>
      </c>
      <c r="X14" s="153">
        <v>0.60599999999999998</v>
      </c>
      <c r="Y14" s="153">
        <v>0.154</v>
      </c>
      <c r="Z14" s="153">
        <f>1/(X14+(V14/W14)+(V15/W15)+(V16/W16)+Y14)</f>
        <v>0.38764242922588976</v>
      </c>
      <c r="AA14" s="153">
        <f>T14*Z14*(R14-S14)</f>
        <v>170.13626218724301</v>
      </c>
      <c r="AB14" s="160"/>
      <c r="AC14" s="67" t="s">
        <v>69</v>
      </c>
      <c r="AD14" s="76">
        <f>AD13/1000</f>
        <v>1.3091385367499997</v>
      </c>
      <c r="AE14" s="159"/>
    </row>
    <row r="15" spans="1:31" ht="15.75" customHeight="1" x14ac:dyDescent="0.2">
      <c r="A15" s="65">
        <v>43552</v>
      </c>
      <c r="B15" s="78">
        <v>811</v>
      </c>
      <c r="C15" s="78">
        <v>27</v>
      </c>
      <c r="D15" s="78">
        <v>-2.2000000000000002</v>
      </c>
      <c r="E15" s="78">
        <v>-18</v>
      </c>
      <c r="F15" s="78">
        <v>3.43</v>
      </c>
      <c r="G15" s="78">
        <v>227</v>
      </c>
      <c r="H15" s="78">
        <v>2.19</v>
      </c>
      <c r="I15" s="78">
        <f t="shared" si="0"/>
        <v>43200</v>
      </c>
      <c r="J15" s="76">
        <f t="shared" si="1"/>
        <v>81226.516000000003</v>
      </c>
      <c r="K15" s="76">
        <f t="shared" si="2"/>
        <v>184097</v>
      </c>
      <c r="L15" s="76">
        <f t="shared" si="3"/>
        <v>28062.222000000002</v>
      </c>
      <c r="M15" s="76">
        <f t="shared" si="5"/>
        <v>6.7913365277777782</v>
      </c>
      <c r="N15" s="76">
        <v>5.04</v>
      </c>
      <c r="O15" s="76">
        <f t="shared" si="4"/>
        <v>11.831336527777779</v>
      </c>
      <c r="Q15" s="152"/>
      <c r="R15" s="152"/>
      <c r="S15" s="152"/>
      <c r="T15" s="152"/>
      <c r="U15" s="78" t="s">
        <v>43</v>
      </c>
      <c r="V15" s="76">
        <v>6.5000000000000002E-2</v>
      </c>
      <c r="W15" s="78">
        <v>0.15</v>
      </c>
      <c r="X15" s="153"/>
      <c r="Y15" s="153"/>
      <c r="Z15" s="153"/>
      <c r="AA15" s="153"/>
      <c r="AB15" s="160"/>
      <c r="AC15" s="152" t="s">
        <v>63</v>
      </c>
      <c r="AD15" s="152"/>
      <c r="AE15" s="159"/>
    </row>
    <row r="16" spans="1:31" ht="15.75" customHeight="1" x14ac:dyDescent="0.2">
      <c r="A16" s="65">
        <v>43554</v>
      </c>
      <c r="B16" s="78">
        <v>334</v>
      </c>
      <c r="C16" s="78">
        <v>28</v>
      </c>
      <c r="D16" s="78">
        <v>-2.2000000000000002</v>
      </c>
      <c r="E16" s="78">
        <v>-18</v>
      </c>
      <c r="F16" s="78">
        <v>3.43</v>
      </c>
      <c r="G16" s="78">
        <v>227</v>
      </c>
      <c r="H16" s="78">
        <v>2.19</v>
      </c>
      <c r="I16" s="78">
        <f t="shared" si="0"/>
        <v>43200</v>
      </c>
      <c r="J16" s="76">
        <f t="shared" si="1"/>
        <v>34597.724000000002</v>
      </c>
      <c r="K16" s="76">
        <f t="shared" si="2"/>
        <v>75818</v>
      </c>
      <c r="L16" s="76">
        <f t="shared" si="3"/>
        <v>11557.067999999999</v>
      </c>
      <c r="M16" s="76">
        <f t="shared" si="5"/>
        <v>2.8234442592592592</v>
      </c>
      <c r="N16" s="76">
        <v>5.04</v>
      </c>
      <c r="O16" s="76">
        <f t="shared" si="4"/>
        <v>7.8634442592592588</v>
      </c>
      <c r="Q16" s="152"/>
      <c r="R16" s="152"/>
      <c r="S16" s="152"/>
      <c r="T16" s="152"/>
      <c r="U16" s="78" t="s">
        <v>44</v>
      </c>
      <c r="V16" s="78">
        <v>0.05</v>
      </c>
      <c r="W16" s="76">
        <v>4.3999999999999997E-2</v>
      </c>
      <c r="X16" s="153"/>
      <c r="Y16" s="153"/>
      <c r="Z16" s="153"/>
      <c r="AA16" s="153"/>
      <c r="AB16" s="160"/>
      <c r="AC16" s="152" t="s">
        <v>56</v>
      </c>
      <c r="AD16" s="152"/>
      <c r="AE16" s="159"/>
    </row>
    <row r="17" spans="1:31" ht="15.75" customHeight="1" x14ac:dyDescent="0.2">
      <c r="A17" s="74">
        <v>43557</v>
      </c>
      <c r="B17" s="78">
        <v>3500</v>
      </c>
      <c r="C17" s="78">
        <v>28</v>
      </c>
      <c r="D17" s="78">
        <v>-2.2000000000000002</v>
      </c>
      <c r="E17" s="78">
        <v>-18</v>
      </c>
      <c r="F17" s="78">
        <v>3.43</v>
      </c>
      <c r="G17" s="78">
        <v>227</v>
      </c>
      <c r="H17" s="78">
        <v>2.19</v>
      </c>
      <c r="I17" s="78">
        <f t="shared" si="0"/>
        <v>43200</v>
      </c>
      <c r="J17" s="76">
        <f t="shared" si="1"/>
        <v>362551</v>
      </c>
      <c r="K17" s="76">
        <f t="shared" si="2"/>
        <v>794500</v>
      </c>
      <c r="L17" s="76">
        <f t="shared" si="3"/>
        <v>121107</v>
      </c>
      <c r="M17" s="76">
        <f t="shared" si="5"/>
        <v>29.586990740740742</v>
      </c>
      <c r="N17" s="76">
        <v>5.04</v>
      </c>
      <c r="O17" s="76">
        <f t="shared" si="4"/>
        <v>34.626990740740744</v>
      </c>
      <c r="Q17" s="152" t="s">
        <v>31</v>
      </c>
      <c r="R17" s="152">
        <v>36</v>
      </c>
      <c r="S17" s="152">
        <v>-32</v>
      </c>
      <c r="T17" s="152">
        <f>3.3*1.9</f>
        <v>6.27</v>
      </c>
      <c r="U17" s="78" t="s">
        <v>42</v>
      </c>
      <c r="V17" s="78">
        <v>0.01</v>
      </c>
      <c r="W17" s="78">
        <v>0.04</v>
      </c>
      <c r="X17" s="153">
        <v>0.60599999999999998</v>
      </c>
      <c r="Y17" s="153">
        <v>0.154</v>
      </c>
      <c r="Z17" s="153">
        <f>1/(X17+(V17/W17)+(V18/W18)+(V19/W19)+Y17)</f>
        <v>0.41441667713173425</v>
      </c>
      <c r="AA17" s="153">
        <f>T17*Z17*(R17-S17)</f>
        <v>176.69069446188621</v>
      </c>
      <c r="AB17" s="160"/>
      <c r="AC17" s="78" t="s">
        <v>58</v>
      </c>
      <c r="AD17" s="78">
        <v>1</v>
      </c>
      <c r="AE17" s="159"/>
    </row>
    <row r="18" spans="1:31" ht="15.75" customHeight="1" x14ac:dyDescent="0.2">
      <c r="A18" s="65">
        <v>43558</v>
      </c>
      <c r="B18" s="78">
        <v>360</v>
      </c>
      <c r="C18" s="78">
        <v>28</v>
      </c>
      <c r="D18" s="78">
        <v>-2.2000000000000002</v>
      </c>
      <c r="E18" s="78">
        <v>-18</v>
      </c>
      <c r="F18" s="78">
        <v>3.43</v>
      </c>
      <c r="G18" s="78">
        <v>227</v>
      </c>
      <c r="H18" s="78">
        <v>2.19</v>
      </c>
      <c r="I18" s="78">
        <f t="shared" si="0"/>
        <v>43200</v>
      </c>
      <c r="J18" s="76">
        <f t="shared" si="1"/>
        <v>37290.959999999999</v>
      </c>
      <c r="K18" s="76">
        <f t="shared" si="2"/>
        <v>81720</v>
      </c>
      <c r="L18" s="76">
        <f t="shared" si="3"/>
        <v>12456.72</v>
      </c>
      <c r="M18" s="76">
        <f t="shared" si="5"/>
        <v>3.0432333333333332</v>
      </c>
      <c r="N18" s="76">
        <v>5.04</v>
      </c>
      <c r="O18" s="76">
        <f t="shared" si="4"/>
        <v>8.0832333333333324</v>
      </c>
      <c r="Q18" s="152"/>
      <c r="R18" s="152"/>
      <c r="S18" s="152"/>
      <c r="T18" s="152"/>
      <c r="U18" s="78" t="s">
        <v>43</v>
      </c>
      <c r="V18" s="78">
        <v>0.04</v>
      </c>
      <c r="W18" s="78">
        <v>0.15</v>
      </c>
      <c r="X18" s="153"/>
      <c r="Y18" s="153"/>
      <c r="Z18" s="153"/>
      <c r="AA18" s="153"/>
      <c r="AB18" s="160"/>
      <c r="AC18" s="78" t="s">
        <v>70</v>
      </c>
      <c r="AD18" s="76">
        <f>12/1000</f>
        <v>1.2E-2</v>
      </c>
      <c r="AE18" s="159"/>
    </row>
    <row r="19" spans="1:31" ht="15.75" customHeight="1" x14ac:dyDescent="0.2">
      <c r="A19" s="65">
        <v>43561</v>
      </c>
      <c r="B19" s="78">
        <v>1714</v>
      </c>
      <c r="C19" s="78">
        <v>28</v>
      </c>
      <c r="D19" s="78">
        <v>-2.2000000000000002</v>
      </c>
      <c r="E19" s="78">
        <v>-18</v>
      </c>
      <c r="F19" s="78">
        <v>3.43</v>
      </c>
      <c r="G19" s="78">
        <v>227</v>
      </c>
      <c r="H19" s="78">
        <v>2.19</v>
      </c>
      <c r="I19" s="78">
        <f t="shared" si="0"/>
        <v>43200</v>
      </c>
      <c r="J19" s="76">
        <f t="shared" si="1"/>
        <v>177546.40399999998</v>
      </c>
      <c r="K19" s="76">
        <f t="shared" si="2"/>
        <v>389078</v>
      </c>
      <c r="L19" s="76">
        <f t="shared" si="3"/>
        <v>59307.828000000001</v>
      </c>
      <c r="M19" s="76">
        <f t="shared" si="5"/>
        <v>14.489172037037036</v>
      </c>
      <c r="N19" s="76">
        <v>5.04</v>
      </c>
      <c r="O19" s="76">
        <f t="shared" si="4"/>
        <v>19.529172037037036</v>
      </c>
      <c r="Q19" s="152"/>
      <c r="R19" s="152"/>
      <c r="S19" s="152"/>
      <c r="T19" s="152"/>
      <c r="U19" s="78" t="s">
        <v>44</v>
      </c>
      <c r="V19" s="78">
        <v>0.05</v>
      </c>
      <c r="W19" s="76">
        <v>4.3999999999999997E-2</v>
      </c>
      <c r="X19" s="153"/>
      <c r="Y19" s="153"/>
      <c r="Z19" s="153"/>
      <c r="AA19" s="153"/>
      <c r="AB19" s="160"/>
      <c r="AC19" s="78" t="s">
        <v>71</v>
      </c>
      <c r="AD19" s="61">
        <v>12</v>
      </c>
      <c r="AE19" s="159"/>
    </row>
    <row r="20" spans="1:31" ht="15.75" customHeight="1" x14ac:dyDescent="0.2">
      <c r="A20" s="65">
        <v>43562</v>
      </c>
      <c r="B20" s="78">
        <v>2105</v>
      </c>
      <c r="C20" s="78">
        <v>28</v>
      </c>
      <c r="D20" s="78">
        <v>-2.2000000000000002</v>
      </c>
      <c r="E20" s="78">
        <v>-18</v>
      </c>
      <c r="F20" s="78">
        <v>3.43</v>
      </c>
      <c r="G20" s="78">
        <v>227</v>
      </c>
      <c r="H20" s="78">
        <v>2.19</v>
      </c>
      <c r="I20" s="78">
        <f t="shared" si="0"/>
        <v>43200</v>
      </c>
      <c r="J20" s="76">
        <f t="shared" si="1"/>
        <v>218048.53</v>
      </c>
      <c r="K20" s="76">
        <f t="shared" si="2"/>
        <v>477835</v>
      </c>
      <c r="L20" s="76">
        <f t="shared" si="3"/>
        <v>72837.209999999992</v>
      </c>
      <c r="M20" s="76">
        <f t="shared" si="5"/>
        <v>17.794461574074074</v>
      </c>
      <c r="N20" s="76">
        <v>5.04</v>
      </c>
      <c r="O20" s="76">
        <f t="shared" si="4"/>
        <v>22.834461574074073</v>
      </c>
      <c r="Q20" s="152" t="s">
        <v>32</v>
      </c>
      <c r="R20" s="152">
        <v>37</v>
      </c>
      <c r="S20" s="152">
        <v>-32</v>
      </c>
      <c r="T20" s="152">
        <f>0.6*0.7</f>
        <v>0.42</v>
      </c>
      <c r="U20" s="78" t="s">
        <v>42</v>
      </c>
      <c r="V20" s="78">
        <v>0.02</v>
      </c>
      <c r="W20" s="78">
        <v>0.04</v>
      </c>
      <c r="X20" s="153">
        <v>0.60599999999999998</v>
      </c>
      <c r="Y20" s="153">
        <v>0.154</v>
      </c>
      <c r="Z20" s="153">
        <f>1/(X20+(V20/W20)+(V21/W21)+Y20)</f>
        <v>0.21417445482866043</v>
      </c>
      <c r="AA20" s="153">
        <f>T20*Z20*(R20-S20)</f>
        <v>6.2067757009345792</v>
      </c>
      <c r="AB20" s="160"/>
      <c r="AC20" s="67" t="s">
        <v>72</v>
      </c>
      <c r="AD20" s="76">
        <f>(AD17*AD18*AD19)/24</f>
        <v>6.000000000000001E-3</v>
      </c>
      <c r="AE20" s="159"/>
    </row>
    <row r="21" spans="1:31" ht="15.75" customHeight="1" x14ac:dyDescent="0.2">
      <c r="A21" s="74">
        <v>43566</v>
      </c>
      <c r="B21" s="78">
        <v>3580</v>
      </c>
      <c r="C21" s="78">
        <v>28</v>
      </c>
      <c r="D21" s="78">
        <v>-2.2000000000000002</v>
      </c>
      <c r="E21" s="78">
        <v>-18</v>
      </c>
      <c r="F21" s="78">
        <v>3.43</v>
      </c>
      <c r="G21" s="78">
        <v>227</v>
      </c>
      <c r="H21" s="78">
        <v>2.19</v>
      </c>
      <c r="I21" s="78">
        <f t="shared" si="0"/>
        <v>43200</v>
      </c>
      <c r="J21" s="76">
        <f t="shared" si="1"/>
        <v>370837.88</v>
      </c>
      <c r="K21" s="76">
        <f t="shared" si="2"/>
        <v>812660</v>
      </c>
      <c r="L21" s="76">
        <f t="shared" si="3"/>
        <v>123875.16</v>
      </c>
      <c r="M21" s="76">
        <f t="shared" si="5"/>
        <v>30.263264814814811</v>
      </c>
      <c r="N21" s="76">
        <v>5.04</v>
      </c>
      <c r="O21" s="76">
        <f t="shared" si="4"/>
        <v>35.30326481481481</v>
      </c>
      <c r="Q21" s="152"/>
      <c r="R21" s="152"/>
      <c r="S21" s="152"/>
      <c r="T21" s="152"/>
      <c r="U21" s="78" t="s">
        <v>44</v>
      </c>
      <c r="V21" s="78">
        <v>0.15</v>
      </c>
      <c r="W21" s="76">
        <v>4.3999999999999997E-2</v>
      </c>
      <c r="X21" s="153"/>
      <c r="Y21" s="153"/>
      <c r="Z21" s="153"/>
      <c r="AA21" s="153"/>
      <c r="AB21" s="160"/>
      <c r="AC21" s="152" t="s">
        <v>57</v>
      </c>
      <c r="AD21" s="152"/>
      <c r="AE21" s="159"/>
    </row>
    <row r="22" spans="1:31" ht="15.75" customHeight="1" x14ac:dyDescent="0.2">
      <c r="A22" s="65">
        <v>43567</v>
      </c>
      <c r="B22" s="78">
        <v>1627</v>
      </c>
      <c r="C22" s="78">
        <v>28</v>
      </c>
      <c r="D22" s="78">
        <v>-2.2000000000000002</v>
      </c>
      <c r="E22" s="78">
        <v>-18</v>
      </c>
      <c r="F22" s="78">
        <v>3.43</v>
      </c>
      <c r="G22" s="78">
        <v>227</v>
      </c>
      <c r="H22" s="78">
        <v>2.19</v>
      </c>
      <c r="I22" s="78">
        <f t="shared" si="0"/>
        <v>43200</v>
      </c>
      <c r="J22" s="76">
        <f t="shared" si="1"/>
        <v>168534.42200000002</v>
      </c>
      <c r="K22" s="76">
        <f t="shared" si="2"/>
        <v>369329</v>
      </c>
      <c r="L22" s="76">
        <f t="shared" si="3"/>
        <v>56297.454000000005</v>
      </c>
      <c r="M22" s="76">
        <f t="shared" si="5"/>
        <v>13.753723981481482</v>
      </c>
      <c r="N22" s="76">
        <v>5.04</v>
      </c>
      <c r="O22" s="76">
        <f t="shared" si="4"/>
        <v>18.793723981481481</v>
      </c>
      <c r="Q22" s="152" t="s">
        <v>9</v>
      </c>
      <c r="R22" s="152">
        <v>45</v>
      </c>
      <c r="S22" s="152">
        <v>-32</v>
      </c>
      <c r="T22" s="152">
        <f>3.3*1.9</f>
        <v>6.27</v>
      </c>
      <c r="U22" s="78" t="s">
        <v>42</v>
      </c>
      <c r="V22" s="78">
        <v>0.01</v>
      </c>
      <c r="W22" s="78">
        <v>0.04</v>
      </c>
      <c r="X22" s="153">
        <v>0.60599999999999998</v>
      </c>
      <c r="Y22" s="153">
        <v>0.154</v>
      </c>
      <c r="Z22" s="153">
        <f>1/(X22+(V22/W22)+(V23/W23)+(V24/W24)+Y22)</f>
        <v>0.41441667713173425</v>
      </c>
      <c r="AA22" s="153">
        <f>T22*Z22*(R22-S22)</f>
        <v>200.07622755242997</v>
      </c>
      <c r="AB22" s="160"/>
      <c r="AC22" s="78" t="s">
        <v>64</v>
      </c>
      <c r="AD22" s="78">
        <v>460</v>
      </c>
      <c r="AE22" s="159"/>
    </row>
    <row r="23" spans="1:31" ht="15.75" customHeight="1" x14ac:dyDescent="0.2">
      <c r="A23" s="74">
        <v>43568</v>
      </c>
      <c r="B23" s="78">
        <v>1356</v>
      </c>
      <c r="C23" s="78">
        <v>28</v>
      </c>
      <c r="D23" s="78">
        <v>-2.2000000000000002</v>
      </c>
      <c r="E23" s="78">
        <v>-18</v>
      </c>
      <c r="F23" s="78">
        <v>3.43</v>
      </c>
      <c r="G23" s="78">
        <v>227</v>
      </c>
      <c r="H23" s="78">
        <v>2.19</v>
      </c>
      <c r="I23" s="78">
        <f t="shared" si="0"/>
        <v>43200</v>
      </c>
      <c r="J23" s="76">
        <f t="shared" si="1"/>
        <v>140462.61600000001</v>
      </c>
      <c r="K23" s="76">
        <f t="shared" si="2"/>
        <v>307812</v>
      </c>
      <c r="L23" s="76">
        <f t="shared" si="3"/>
        <v>46920.311999999998</v>
      </c>
      <c r="M23" s="76">
        <f t="shared" si="5"/>
        <v>11.462845555555555</v>
      </c>
      <c r="N23" s="76">
        <v>5.04</v>
      </c>
      <c r="O23" s="76">
        <f t="shared" si="4"/>
        <v>16.502845555555556</v>
      </c>
      <c r="Q23" s="152"/>
      <c r="R23" s="152"/>
      <c r="S23" s="152"/>
      <c r="T23" s="152"/>
      <c r="U23" s="78" t="s">
        <v>43</v>
      </c>
      <c r="V23" s="78">
        <v>0.04</v>
      </c>
      <c r="W23" s="78">
        <v>0.15</v>
      </c>
      <c r="X23" s="153"/>
      <c r="Y23" s="153"/>
      <c r="Z23" s="153"/>
      <c r="AA23" s="153"/>
      <c r="AB23" s="160"/>
      <c r="AC23" s="78" t="s">
        <v>73</v>
      </c>
      <c r="AD23" s="78">
        <v>776</v>
      </c>
      <c r="AE23" s="159"/>
    </row>
    <row r="24" spans="1:31" ht="15.75" customHeight="1" x14ac:dyDescent="0.2">
      <c r="A24" s="65">
        <v>43569</v>
      </c>
      <c r="B24" s="78">
        <v>746</v>
      </c>
      <c r="C24" s="78">
        <v>28</v>
      </c>
      <c r="D24" s="78">
        <v>-2.2000000000000002</v>
      </c>
      <c r="E24" s="78">
        <v>-18</v>
      </c>
      <c r="F24" s="78">
        <v>3.43</v>
      </c>
      <c r="G24" s="78">
        <v>227</v>
      </c>
      <c r="H24" s="78">
        <v>2.19</v>
      </c>
      <c r="I24" s="78">
        <f t="shared" si="0"/>
        <v>43200</v>
      </c>
      <c r="J24" s="76">
        <f t="shared" si="1"/>
        <v>77275.156000000003</v>
      </c>
      <c r="K24" s="76">
        <f t="shared" si="2"/>
        <v>169342</v>
      </c>
      <c r="L24" s="76">
        <f t="shared" si="3"/>
        <v>25813.092000000001</v>
      </c>
      <c r="M24" s="76">
        <f t="shared" si="5"/>
        <v>6.3062557407407409</v>
      </c>
      <c r="N24" s="76">
        <v>5.04</v>
      </c>
      <c r="O24" s="76">
        <f t="shared" si="4"/>
        <v>11.346255740740741</v>
      </c>
      <c r="Q24" s="152"/>
      <c r="R24" s="152"/>
      <c r="S24" s="152"/>
      <c r="T24" s="152"/>
      <c r="U24" s="78" t="s">
        <v>44</v>
      </c>
      <c r="V24" s="78">
        <v>0.05</v>
      </c>
      <c r="W24" s="76">
        <v>4.3999999999999997E-2</v>
      </c>
      <c r="X24" s="153"/>
      <c r="Y24" s="153"/>
      <c r="Z24" s="153"/>
      <c r="AA24" s="153"/>
      <c r="AB24" s="160"/>
      <c r="AC24" s="78" t="s">
        <v>58</v>
      </c>
      <c r="AD24" s="78">
        <v>2</v>
      </c>
      <c r="AE24" s="159"/>
    </row>
    <row r="25" spans="1:31" ht="15.75" customHeight="1" x14ac:dyDescent="0.2">
      <c r="A25" s="65">
        <v>43570</v>
      </c>
      <c r="B25" s="78">
        <v>316</v>
      </c>
      <c r="C25" s="78">
        <v>28</v>
      </c>
      <c r="D25" s="78">
        <v>-2.2000000000000002</v>
      </c>
      <c r="E25" s="78">
        <v>-18</v>
      </c>
      <c r="F25" s="78">
        <v>3.43</v>
      </c>
      <c r="G25" s="78">
        <v>227</v>
      </c>
      <c r="H25" s="78">
        <v>2.19</v>
      </c>
      <c r="I25" s="78">
        <f t="shared" si="0"/>
        <v>43200</v>
      </c>
      <c r="J25" s="76">
        <f t="shared" si="1"/>
        <v>32733.175999999999</v>
      </c>
      <c r="K25" s="76">
        <f t="shared" si="2"/>
        <v>71732</v>
      </c>
      <c r="L25" s="76">
        <f t="shared" si="3"/>
        <v>10934.232</v>
      </c>
      <c r="M25" s="76">
        <f t="shared" si="5"/>
        <v>2.6712825925925929</v>
      </c>
      <c r="N25" s="76">
        <v>5.04</v>
      </c>
      <c r="O25" s="76">
        <f t="shared" si="4"/>
        <v>7.7112825925925925</v>
      </c>
      <c r="Q25" s="152" t="s">
        <v>8</v>
      </c>
      <c r="R25" s="152">
        <v>37</v>
      </c>
      <c r="S25" s="152">
        <v>-32</v>
      </c>
      <c r="T25" s="152">
        <f>3.3*1.9</f>
        <v>6.27</v>
      </c>
      <c r="U25" s="78" t="s">
        <v>42</v>
      </c>
      <c r="V25" s="78">
        <v>0.01</v>
      </c>
      <c r="W25" s="78">
        <v>0.04</v>
      </c>
      <c r="X25" s="153">
        <v>0.60599999999999998</v>
      </c>
      <c r="Y25" s="153">
        <v>0.154</v>
      </c>
      <c r="Z25" s="153">
        <f>1/(X25+(V25/W25)+(V26/W26)+(V27/W27)+Y25)</f>
        <v>0.41441667713173425</v>
      </c>
      <c r="AA25" s="153">
        <f>T25*Z25*(R25-S25)</f>
        <v>179.28908702750218</v>
      </c>
      <c r="AB25" s="160"/>
      <c r="AC25" s="67" t="s">
        <v>74</v>
      </c>
      <c r="AD25" s="76">
        <f>(AD23*AD24)/1000</f>
        <v>1.552</v>
      </c>
      <c r="AE25" s="159"/>
    </row>
    <row r="26" spans="1:31" ht="15.75" customHeight="1" x14ac:dyDescent="0.2">
      <c r="A26" s="65">
        <v>43571</v>
      </c>
      <c r="B26" s="78">
        <v>1768</v>
      </c>
      <c r="C26" s="78">
        <v>28</v>
      </c>
      <c r="D26" s="78">
        <v>-2.2000000000000002</v>
      </c>
      <c r="E26" s="78">
        <v>-18</v>
      </c>
      <c r="F26" s="78">
        <v>3.43</v>
      </c>
      <c r="G26" s="78">
        <v>227</v>
      </c>
      <c r="H26" s="78">
        <v>2.19</v>
      </c>
      <c r="I26" s="78">
        <f t="shared" si="0"/>
        <v>43200</v>
      </c>
      <c r="J26" s="76">
        <f t="shared" si="1"/>
        <v>183140.04800000001</v>
      </c>
      <c r="K26" s="76">
        <f t="shared" si="2"/>
        <v>401336</v>
      </c>
      <c r="L26" s="76">
        <f t="shared" si="3"/>
        <v>61176.336000000003</v>
      </c>
      <c r="M26" s="76">
        <f t="shared" si="5"/>
        <v>14.945657037037035</v>
      </c>
      <c r="N26" s="76">
        <v>5.04</v>
      </c>
      <c r="O26" s="76">
        <f t="shared" si="4"/>
        <v>19.985657037037036</v>
      </c>
      <c r="Q26" s="152"/>
      <c r="R26" s="152"/>
      <c r="S26" s="152"/>
      <c r="T26" s="152"/>
      <c r="U26" s="78" t="s">
        <v>43</v>
      </c>
      <c r="V26" s="78">
        <v>0.04</v>
      </c>
      <c r="W26" s="78">
        <v>0.15</v>
      </c>
      <c r="X26" s="153"/>
      <c r="Y26" s="153"/>
      <c r="Z26" s="153"/>
      <c r="AA26" s="153"/>
      <c r="AB26" s="160"/>
      <c r="AC26" s="152" t="s">
        <v>59</v>
      </c>
      <c r="AD26" s="152"/>
      <c r="AE26" s="159"/>
    </row>
    <row r="27" spans="1:31" ht="15.75" customHeight="1" x14ac:dyDescent="0.2">
      <c r="A27" s="65">
        <v>43572</v>
      </c>
      <c r="B27" s="78">
        <v>989</v>
      </c>
      <c r="C27" s="78">
        <v>28</v>
      </c>
      <c r="D27" s="78">
        <v>-2.2000000000000002</v>
      </c>
      <c r="E27" s="78">
        <v>-18</v>
      </c>
      <c r="F27" s="78">
        <v>3.43</v>
      </c>
      <c r="G27" s="78">
        <v>227</v>
      </c>
      <c r="H27" s="78">
        <v>2.19</v>
      </c>
      <c r="I27" s="78">
        <f t="shared" si="0"/>
        <v>43200</v>
      </c>
      <c r="J27" s="76">
        <f t="shared" si="1"/>
        <v>102446.554</v>
      </c>
      <c r="K27" s="76">
        <f t="shared" si="2"/>
        <v>224503</v>
      </c>
      <c r="L27" s="76">
        <f t="shared" si="3"/>
        <v>34221.378000000004</v>
      </c>
      <c r="M27" s="76">
        <f t="shared" si="5"/>
        <v>8.3604382407407414</v>
      </c>
      <c r="N27" s="76">
        <v>5.04</v>
      </c>
      <c r="O27" s="76">
        <f t="shared" si="4"/>
        <v>13.400438240740741</v>
      </c>
      <c r="Q27" s="152"/>
      <c r="R27" s="152"/>
      <c r="S27" s="152"/>
      <c r="T27" s="152"/>
      <c r="U27" s="78" t="s">
        <v>44</v>
      </c>
      <c r="V27" s="78">
        <v>0.05</v>
      </c>
      <c r="W27" s="76">
        <v>4.3999999999999997E-2</v>
      </c>
      <c r="X27" s="153"/>
      <c r="Y27" s="153"/>
      <c r="Z27" s="153"/>
      <c r="AA27" s="153"/>
      <c r="AB27" s="160"/>
      <c r="AC27" s="78" t="s">
        <v>134</v>
      </c>
      <c r="AD27" s="78">
        <v>-32</v>
      </c>
      <c r="AE27" s="159"/>
    </row>
    <row r="28" spans="1:31" ht="15.75" customHeight="1" x14ac:dyDescent="0.2">
      <c r="AC28" s="78" t="s">
        <v>58</v>
      </c>
      <c r="AD28" s="78">
        <v>2</v>
      </c>
      <c r="AE28" s="159"/>
    </row>
    <row r="29" spans="1:31" ht="15.75" customHeight="1" x14ac:dyDescent="0.2">
      <c r="AC29" s="67" t="s">
        <v>76</v>
      </c>
      <c r="AD29" s="78">
        <f>AD28*(272-6*(-32))</f>
        <v>928</v>
      </c>
      <c r="AE29" s="159"/>
    </row>
    <row r="30" spans="1:31" ht="15.75" customHeight="1" x14ac:dyDescent="0.2">
      <c r="AC30" s="67" t="s">
        <v>75</v>
      </c>
      <c r="AD30" s="76">
        <f>AD29/1000</f>
        <v>0.92800000000000005</v>
      </c>
      <c r="AE30" s="159"/>
    </row>
    <row r="31" spans="1:31" s="47" customFormat="1" x14ac:dyDescent="0.2"/>
  </sheetData>
  <mergeCells count="71">
    <mergeCell ref="AA25:AA27"/>
    <mergeCell ref="Z22:Z24"/>
    <mergeCell ref="AC4:AD4"/>
    <mergeCell ref="AC15:AD15"/>
    <mergeCell ref="AC16:AD16"/>
    <mergeCell ref="AC21:AD21"/>
    <mergeCell ref="AC26:AD26"/>
    <mergeCell ref="Q20:Q21"/>
    <mergeCell ref="R20:R21"/>
    <mergeCell ref="S20:S21"/>
    <mergeCell ref="T20:T21"/>
    <mergeCell ref="X20:X21"/>
    <mergeCell ref="Q22:Q24"/>
    <mergeCell ref="Y25:Y27"/>
    <mergeCell ref="R22:R24"/>
    <mergeCell ref="S22:S24"/>
    <mergeCell ref="T22:T24"/>
    <mergeCell ref="X22:X24"/>
    <mergeCell ref="Y22:Y24"/>
    <mergeCell ref="Q25:Q27"/>
    <mergeCell ref="R25:R27"/>
    <mergeCell ref="S25:S27"/>
    <mergeCell ref="T25:T27"/>
    <mergeCell ref="X25:X27"/>
    <mergeCell ref="T17:T19"/>
    <mergeCell ref="X17:X19"/>
    <mergeCell ref="Y17:Y19"/>
    <mergeCell ref="Z17:Z19"/>
    <mergeCell ref="AA17:AA19"/>
    <mergeCell ref="Q14:Q16"/>
    <mergeCell ref="R14:R16"/>
    <mergeCell ref="S14:S16"/>
    <mergeCell ref="T14:T16"/>
    <mergeCell ref="X14:X16"/>
    <mergeCell ref="Q11:Q13"/>
    <mergeCell ref="R11:R13"/>
    <mergeCell ref="S11:S13"/>
    <mergeCell ref="T11:T13"/>
    <mergeCell ref="X11:X13"/>
    <mergeCell ref="X7:X10"/>
    <mergeCell ref="Y7:Y10"/>
    <mergeCell ref="Z7:Z10"/>
    <mergeCell ref="AA7:AA10"/>
    <mergeCell ref="AB7:AB27"/>
    <mergeCell ref="Y11:Y13"/>
    <mergeCell ref="Z11:Z13"/>
    <mergeCell ref="AA11:AA13"/>
    <mergeCell ref="Y14:Y16"/>
    <mergeCell ref="Z14:Z16"/>
    <mergeCell ref="AA14:AA16"/>
    <mergeCell ref="Y20:Y21"/>
    <mergeCell ref="Z20:Z21"/>
    <mergeCell ref="AA20:AA21"/>
    <mergeCell ref="AA22:AA24"/>
    <mergeCell ref="Z25:Z27"/>
    <mergeCell ref="A3:O3"/>
    <mergeCell ref="AE7:AE30"/>
    <mergeCell ref="Q17:Q19"/>
    <mergeCell ref="R17:R19"/>
    <mergeCell ref="S17:S19"/>
    <mergeCell ref="A4:A5"/>
    <mergeCell ref="Q3:AB3"/>
    <mergeCell ref="Q4:AB4"/>
    <mergeCell ref="Q5:Q6"/>
    <mergeCell ref="U5:U6"/>
    <mergeCell ref="V5:V6"/>
    <mergeCell ref="W5:W6"/>
    <mergeCell ref="Q7:Q10"/>
    <mergeCell ref="R7:R10"/>
    <mergeCell ref="S7:S10"/>
    <mergeCell ref="T7:T10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9"/>
  <sheetViews>
    <sheetView topLeftCell="E1" workbookViewId="0">
      <selection activeCell="P12" sqref="P12"/>
    </sheetView>
  </sheetViews>
  <sheetFormatPr defaultRowHeight="14.25" x14ac:dyDescent="0.2"/>
  <cols>
    <col min="1" max="1" width="13" style="13" customWidth="1"/>
    <col min="2" max="2" width="9" style="3"/>
    <col min="6" max="6" width="9" style="18"/>
    <col min="7" max="7" width="9" style="9"/>
    <col min="8" max="8" width="9" style="18"/>
    <col min="9" max="9" width="9.125" style="12" customWidth="1"/>
    <col min="10" max="10" width="9" style="1"/>
    <col min="11" max="11" width="9" style="12"/>
    <col min="15" max="15" width="14.75" customWidth="1"/>
    <col min="16" max="16" width="14.75" bestFit="1" customWidth="1"/>
    <col min="17" max="17" width="21.5" customWidth="1"/>
    <col min="18" max="18" width="20" customWidth="1"/>
  </cols>
  <sheetData>
    <row r="1" spans="1:19" ht="15" x14ac:dyDescent="0.2">
      <c r="A1" s="172" t="s">
        <v>109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</row>
    <row r="2" spans="1:19" x14ac:dyDescent="0.2">
      <c r="O2">
        <f>50*380*0.9</f>
        <v>17100</v>
      </c>
    </row>
    <row r="3" spans="1:19" ht="15.75" x14ac:dyDescent="0.25">
      <c r="A3" s="169" t="s">
        <v>1</v>
      </c>
      <c r="B3" s="169" t="s">
        <v>2</v>
      </c>
      <c r="C3" s="169" t="s">
        <v>3</v>
      </c>
      <c r="D3" s="169"/>
      <c r="E3" s="169"/>
      <c r="F3" s="169" t="s">
        <v>3</v>
      </c>
      <c r="G3" s="169"/>
      <c r="H3" s="169"/>
      <c r="I3" s="169" t="s">
        <v>7</v>
      </c>
      <c r="J3" s="169"/>
      <c r="K3" s="169"/>
      <c r="L3" s="173" t="s">
        <v>81</v>
      </c>
      <c r="M3" s="173"/>
      <c r="N3" s="173"/>
      <c r="O3" s="173"/>
      <c r="P3" s="102" t="s">
        <v>151</v>
      </c>
      <c r="Q3" s="84" t="s">
        <v>87</v>
      </c>
      <c r="R3" s="85" t="s">
        <v>88</v>
      </c>
    </row>
    <row r="4" spans="1:19" ht="15.75" x14ac:dyDescent="0.25">
      <c r="A4" s="169"/>
      <c r="B4" s="169"/>
      <c r="C4" s="86" t="s">
        <v>4</v>
      </c>
      <c r="D4" s="86" t="s">
        <v>5</v>
      </c>
      <c r="E4" s="86" t="s">
        <v>6</v>
      </c>
      <c r="F4" s="87" t="s">
        <v>4</v>
      </c>
      <c r="G4" s="88" t="s">
        <v>5</v>
      </c>
      <c r="H4" s="87" t="s">
        <v>6</v>
      </c>
      <c r="I4" s="107" t="s">
        <v>82</v>
      </c>
      <c r="J4" s="108" t="s">
        <v>163</v>
      </c>
      <c r="K4" s="107" t="s">
        <v>164</v>
      </c>
      <c r="L4" s="89" t="s">
        <v>0</v>
      </c>
      <c r="M4" s="89" t="s">
        <v>165</v>
      </c>
      <c r="N4" s="89" t="s">
        <v>166</v>
      </c>
      <c r="O4" s="89" t="s">
        <v>167</v>
      </c>
      <c r="P4" s="89" t="s">
        <v>150</v>
      </c>
      <c r="Q4" s="89" t="s">
        <v>149</v>
      </c>
      <c r="R4" s="89" t="s">
        <v>129</v>
      </c>
    </row>
    <row r="5" spans="1:19" ht="15" customHeight="1" x14ac:dyDescent="0.2">
      <c r="A5" s="85"/>
      <c r="B5" s="169"/>
      <c r="C5" s="99" t="s">
        <v>79</v>
      </c>
      <c r="D5" s="99" t="s">
        <v>79</v>
      </c>
      <c r="E5" s="99" t="s">
        <v>79</v>
      </c>
      <c r="F5" s="100" t="s">
        <v>80</v>
      </c>
      <c r="G5" s="101" t="s">
        <v>80</v>
      </c>
      <c r="H5" s="100" t="s">
        <v>80</v>
      </c>
      <c r="I5" s="91" t="s">
        <v>83</v>
      </c>
      <c r="J5" s="91" t="s">
        <v>83</v>
      </c>
      <c r="K5" s="91" t="s">
        <v>83</v>
      </c>
      <c r="L5" s="91" t="s">
        <v>84</v>
      </c>
      <c r="M5" s="91" t="s">
        <v>84</v>
      </c>
      <c r="N5" s="91" t="s">
        <v>84</v>
      </c>
      <c r="O5" s="91" t="s">
        <v>84</v>
      </c>
      <c r="P5" s="85" t="s">
        <v>41</v>
      </c>
      <c r="Q5" s="85" t="s">
        <v>86</v>
      </c>
      <c r="R5" s="85" t="s">
        <v>41</v>
      </c>
      <c r="S5" s="19"/>
    </row>
    <row r="6" spans="1:19" ht="15.75" x14ac:dyDescent="0.25">
      <c r="A6" s="103">
        <v>43527</v>
      </c>
      <c r="B6" s="92">
        <v>0.66666666666666663</v>
      </c>
      <c r="C6" s="93">
        <v>24.69</v>
      </c>
      <c r="D6" s="93">
        <v>44.69</v>
      </c>
      <c r="E6" s="93">
        <v>244.69</v>
      </c>
      <c r="F6" s="76">
        <f t="shared" ref="F6:H7" si="0">C6*0.0069</f>
        <v>0.17036100000000001</v>
      </c>
      <c r="G6" s="76">
        <f t="shared" si="0"/>
        <v>0.308361</v>
      </c>
      <c r="H6" s="76">
        <f t="shared" si="0"/>
        <v>1.688361</v>
      </c>
      <c r="I6" s="93">
        <v>-23</v>
      </c>
      <c r="J6" s="93">
        <v>73</v>
      </c>
      <c r="K6" s="94">
        <v>34.5</v>
      </c>
      <c r="L6" s="83">
        <v>242</v>
      </c>
      <c r="M6" s="83">
        <v>288.60000000000002</v>
      </c>
      <c r="N6" s="83">
        <v>87.05</v>
      </c>
      <c r="O6" s="83">
        <f>N6</f>
        <v>87.05</v>
      </c>
      <c r="P6" s="90">
        <f>0.9*380*50/1000</f>
        <v>17.100000000000001</v>
      </c>
      <c r="Q6" s="90">
        <f>P6/(M6-L6)</f>
        <v>0.36695278969957068</v>
      </c>
      <c r="R6" s="90">
        <f>Q6*(L6-O6)</f>
        <v>56.859334763948475</v>
      </c>
      <c r="S6" s="9"/>
    </row>
    <row r="7" spans="1:19" ht="15.75" x14ac:dyDescent="0.25">
      <c r="A7" s="103">
        <v>43528</v>
      </c>
      <c r="B7" s="92">
        <v>0.66666666666666663</v>
      </c>
      <c r="C7" s="93">
        <v>26.69</v>
      </c>
      <c r="D7" s="93">
        <v>64.69</v>
      </c>
      <c r="E7" s="93">
        <v>264.69</v>
      </c>
      <c r="F7" s="76">
        <f t="shared" si="0"/>
        <v>0.18416100000000002</v>
      </c>
      <c r="G7" s="76">
        <f t="shared" si="0"/>
        <v>0.44636099999999995</v>
      </c>
      <c r="H7" s="76">
        <f t="shared" si="0"/>
        <v>1.8263609999999999</v>
      </c>
      <c r="I7" s="93">
        <v>-18</v>
      </c>
      <c r="J7" s="93">
        <v>89</v>
      </c>
      <c r="K7" s="94">
        <v>39.5</v>
      </c>
      <c r="L7" s="83">
        <v>244.9</v>
      </c>
      <c r="M7" s="83">
        <v>300.8</v>
      </c>
      <c r="N7" s="83">
        <v>93.61</v>
      </c>
      <c r="O7" s="83">
        <f>N7</f>
        <v>93.61</v>
      </c>
      <c r="P7" s="90">
        <f t="shared" ref="P7:P62" si="1">0.9*380*50/1000</f>
        <v>17.100000000000001</v>
      </c>
      <c r="Q7" s="90">
        <f t="shared" ref="Q7:Q52" si="2">P7/(M7-L7)</f>
        <v>0.30590339892665475</v>
      </c>
      <c r="R7" s="90">
        <f t="shared" ref="R7:R52" si="3">Q7*(L7-O7)</f>
        <v>46.280125223613602</v>
      </c>
    </row>
    <row r="8" spans="1:19" ht="15.75" x14ac:dyDescent="0.2">
      <c r="A8" s="103">
        <v>43529</v>
      </c>
      <c r="B8" s="95">
        <v>0.16666666666666666</v>
      </c>
      <c r="C8" s="83">
        <v>24.69</v>
      </c>
      <c r="D8" s="83">
        <v>64.69</v>
      </c>
      <c r="E8" s="83">
        <v>244.69</v>
      </c>
      <c r="F8" s="76">
        <f t="shared" ref="F8:F53" si="4">C8*0.0069</f>
        <v>0.17036100000000001</v>
      </c>
      <c r="G8" s="76">
        <f t="shared" ref="G8:G53" si="5">D8*0.0069</f>
        <v>0.44636099999999995</v>
      </c>
      <c r="H8" s="76">
        <f t="shared" ref="H8:H53" si="6">E8*0.0069</f>
        <v>1.688361</v>
      </c>
      <c r="I8" s="96">
        <v>-15.5</v>
      </c>
      <c r="J8" s="97">
        <v>86</v>
      </c>
      <c r="K8" s="96">
        <v>37.5</v>
      </c>
      <c r="L8" s="83">
        <v>246.7</v>
      </c>
      <c r="M8" s="83">
        <v>299.89999999999998</v>
      </c>
      <c r="N8" s="83">
        <v>90.97</v>
      </c>
      <c r="O8" s="83">
        <f>N8</f>
        <v>90.97</v>
      </c>
      <c r="P8" s="90">
        <f t="shared" si="1"/>
        <v>17.100000000000001</v>
      </c>
      <c r="Q8" s="90">
        <f t="shared" si="2"/>
        <v>0.32142857142857151</v>
      </c>
      <c r="R8" s="90">
        <f t="shared" si="3"/>
        <v>50.056071428571435</v>
      </c>
    </row>
    <row r="9" spans="1:19" ht="15.75" x14ac:dyDescent="0.2">
      <c r="A9" s="103">
        <v>43530</v>
      </c>
      <c r="B9" s="95">
        <v>0.66666666666666663</v>
      </c>
      <c r="C9" s="83">
        <v>17.690000000000001</v>
      </c>
      <c r="D9" s="83">
        <v>64.69</v>
      </c>
      <c r="E9" s="83">
        <v>234.69</v>
      </c>
      <c r="F9" s="76">
        <f t="shared" si="4"/>
        <v>0.122061</v>
      </c>
      <c r="G9" s="76">
        <f t="shared" si="5"/>
        <v>0.44636099999999995</v>
      </c>
      <c r="H9" s="76">
        <f t="shared" si="6"/>
        <v>1.6193610000000001</v>
      </c>
      <c r="I9" s="96">
        <v>2</v>
      </c>
      <c r="J9" s="97">
        <v>86.5</v>
      </c>
      <c r="K9" s="96">
        <v>36</v>
      </c>
      <c r="L9" s="83">
        <v>258.89999999999998</v>
      </c>
      <c r="M9" s="83">
        <v>301.10000000000002</v>
      </c>
      <c r="N9" s="83">
        <v>89</v>
      </c>
      <c r="O9" s="83">
        <f t="shared" ref="O9:O53" si="7">N9</f>
        <v>89</v>
      </c>
      <c r="P9" s="90">
        <f t="shared" si="1"/>
        <v>17.100000000000001</v>
      </c>
      <c r="Q9" s="90">
        <f t="shared" si="2"/>
        <v>0.40521327014217967</v>
      </c>
      <c r="R9" s="90">
        <f t="shared" si="3"/>
        <v>68.845734597156323</v>
      </c>
    </row>
    <row r="10" spans="1:19" ht="15.75" x14ac:dyDescent="0.2">
      <c r="A10" s="167">
        <v>43531</v>
      </c>
      <c r="B10" s="95">
        <v>0.66666666666666663</v>
      </c>
      <c r="C10" s="83">
        <v>25.69</v>
      </c>
      <c r="D10" s="83">
        <v>49.69</v>
      </c>
      <c r="E10" s="83">
        <v>254.69</v>
      </c>
      <c r="F10" s="76">
        <f t="shared" si="4"/>
        <v>0.177261</v>
      </c>
      <c r="G10" s="76">
        <f t="shared" si="5"/>
        <v>0.34286099999999997</v>
      </c>
      <c r="H10" s="76">
        <f t="shared" si="6"/>
        <v>1.757361</v>
      </c>
      <c r="I10" s="96">
        <v>-17</v>
      </c>
      <c r="J10" s="97">
        <v>87</v>
      </c>
      <c r="K10" s="96">
        <v>37</v>
      </c>
      <c r="L10" s="83">
        <v>245.5</v>
      </c>
      <c r="M10" s="83">
        <v>299.89999999999998</v>
      </c>
      <c r="N10" s="83">
        <v>90.31</v>
      </c>
      <c r="O10" s="83">
        <f t="shared" si="7"/>
        <v>90.31</v>
      </c>
      <c r="P10" s="90">
        <f t="shared" si="1"/>
        <v>17.100000000000001</v>
      </c>
      <c r="Q10" s="90">
        <f t="shared" si="2"/>
        <v>0.31433823529411781</v>
      </c>
      <c r="R10" s="90">
        <f t="shared" si="3"/>
        <v>48.782150735294145</v>
      </c>
    </row>
    <row r="11" spans="1:19" ht="15.75" x14ac:dyDescent="0.2">
      <c r="A11" s="167"/>
      <c r="B11" s="95">
        <v>0.16666666666666666</v>
      </c>
      <c r="C11" s="83">
        <v>17.690000000000001</v>
      </c>
      <c r="D11" s="83">
        <v>74.69</v>
      </c>
      <c r="E11" s="83">
        <v>234.69</v>
      </c>
      <c r="F11" s="76">
        <f t="shared" si="4"/>
        <v>0.122061</v>
      </c>
      <c r="G11" s="76">
        <f t="shared" si="5"/>
        <v>0.51536099999999996</v>
      </c>
      <c r="H11" s="76">
        <f t="shared" si="6"/>
        <v>1.6193610000000001</v>
      </c>
      <c r="I11" s="96">
        <v>14</v>
      </c>
      <c r="J11" s="97">
        <v>75</v>
      </c>
      <c r="K11" s="96">
        <v>35</v>
      </c>
      <c r="L11" s="83">
        <v>266.60000000000002</v>
      </c>
      <c r="M11" s="83">
        <v>291.2</v>
      </c>
      <c r="N11" s="83">
        <v>87.7</v>
      </c>
      <c r="O11" s="83">
        <f t="shared" si="7"/>
        <v>87.7</v>
      </c>
      <c r="P11" s="90">
        <f t="shared" si="1"/>
        <v>17.100000000000001</v>
      </c>
      <c r="Q11" s="90">
        <f t="shared" si="2"/>
        <v>0.69512195121951326</v>
      </c>
      <c r="R11" s="90">
        <f t="shared" si="3"/>
        <v>124.35731707317095</v>
      </c>
    </row>
    <row r="12" spans="1:19" ht="15.75" x14ac:dyDescent="0.2">
      <c r="A12" s="167">
        <v>43532</v>
      </c>
      <c r="B12" s="168">
        <v>0</v>
      </c>
      <c r="C12" s="83">
        <v>25.69</v>
      </c>
      <c r="D12" s="83">
        <v>64.69</v>
      </c>
      <c r="E12" s="83">
        <v>264.69</v>
      </c>
      <c r="F12" s="76">
        <f t="shared" si="4"/>
        <v>0.177261</v>
      </c>
      <c r="G12" s="76">
        <f t="shared" si="5"/>
        <v>0.44636099999999995</v>
      </c>
      <c r="H12" s="76">
        <f t="shared" si="6"/>
        <v>1.8263609999999999</v>
      </c>
      <c r="I12" s="166">
        <v>-1</v>
      </c>
      <c r="J12" s="166">
        <v>89</v>
      </c>
      <c r="K12" s="166">
        <v>36</v>
      </c>
      <c r="L12" s="83">
        <v>255.8</v>
      </c>
      <c r="M12" s="83">
        <v>300.8</v>
      </c>
      <c r="N12" s="83">
        <v>89</v>
      </c>
      <c r="O12" s="83">
        <f t="shared" si="7"/>
        <v>89</v>
      </c>
      <c r="P12" s="90">
        <f t="shared" si="1"/>
        <v>17.100000000000001</v>
      </c>
      <c r="Q12" s="90">
        <f t="shared" si="2"/>
        <v>0.38</v>
      </c>
      <c r="R12" s="90">
        <f t="shared" si="3"/>
        <v>63.384000000000007</v>
      </c>
    </row>
    <row r="13" spans="1:19" ht="15.75" x14ac:dyDescent="0.2">
      <c r="A13" s="167"/>
      <c r="B13" s="168"/>
      <c r="C13" s="83">
        <v>26.69</v>
      </c>
      <c r="D13" s="83">
        <v>49.69</v>
      </c>
      <c r="E13" s="83">
        <v>264.69</v>
      </c>
      <c r="F13" s="76">
        <f t="shared" si="4"/>
        <v>0.18416100000000002</v>
      </c>
      <c r="G13" s="76">
        <f t="shared" si="5"/>
        <v>0.34286099999999997</v>
      </c>
      <c r="H13" s="76">
        <f t="shared" si="6"/>
        <v>1.8263609999999999</v>
      </c>
      <c r="I13" s="166"/>
      <c r="J13" s="166"/>
      <c r="K13" s="166"/>
      <c r="L13" s="83">
        <v>255.8</v>
      </c>
      <c r="M13" s="83">
        <v>300.8</v>
      </c>
      <c r="N13" s="83">
        <v>89</v>
      </c>
      <c r="O13" s="83">
        <f t="shared" si="7"/>
        <v>89</v>
      </c>
      <c r="P13" s="90">
        <f t="shared" si="1"/>
        <v>17.100000000000001</v>
      </c>
      <c r="Q13" s="90">
        <f t="shared" si="2"/>
        <v>0.38</v>
      </c>
      <c r="R13" s="90">
        <f t="shared" si="3"/>
        <v>63.384000000000007</v>
      </c>
    </row>
    <row r="14" spans="1:19" ht="15.75" x14ac:dyDescent="0.2">
      <c r="A14" s="167"/>
      <c r="B14" s="168">
        <v>0.16666666666666666</v>
      </c>
      <c r="C14" s="83">
        <v>24.69</v>
      </c>
      <c r="D14" s="83">
        <v>64.69</v>
      </c>
      <c r="E14" s="83">
        <v>264.69</v>
      </c>
      <c r="F14" s="76">
        <f t="shared" si="4"/>
        <v>0.17036100000000001</v>
      </c>
      <c r="G14" s="76">
        <f t="shared" si="5"/>
        <v>0.44636099999999995</v>
      </c>
      <c r="H14" s="76">
        <f t="shared" si="6"/>
        <v>1.8263609999999999</v>
      </c>
      <c r="I14" s="166">
        <v>-23</v>
      </c>
      <c r="J14" s="166">
        <v>85</v>
      </c>
      <c r="K14" s="166">
        <v>37</v>
      </c>
      <c r="L14" s="83">
        <v>242</v>
      </c>
      <c r="M14" s="83">
        <v>297.3</v>
      </c>
      <c r="N14" s="83">
        <v>90.31</v>
      </c>
      <c r="O14" s="83">
        <f t="shared" si="7"/>
        <v>90.31</v>
      </c>
      <c r="P14" s="90">
        <f t="shared" si="1"/>
        <v>17.100000000000001</v>
      </c>
      <c r="Q14" s="90">
        <f t="shared" si="2"/>
        <v>0.30922242314647375</v>
      </c>
      <c r="R14" s="90">
        <f t="shared" si="3"/>
        <v>46.905949367088603</v>
      </c>
    </row>
    <row r="15" spans="1:19" ht="15.75" x14ac:dyDescent="0.2">
      <c r="A15" s="167"/>
      <c r="B15" s="168"/>
      <c r="C15" s="83">
        <v>24.69</v>
      </c>
      <c r="D15" s="83">
        <v>44.69</v>
      </c>
      <c r="E15" s="83">
        <v>264.69</v>
      </c>
      <c r="F15" s="76">
        <f t="shared" si="4"/>
        <v>0.17036100000000001</v>
      </c>
      <c r="G15" s="76">
        <f t="shared" si="5"/>
        <v>0.308361</v>
      </c>
      <c r="H15" s="76">
        <f t="shared" si="6"/>
        <v>1.8263609999999999</v>
      </c>
      <c r="I15" s="166"/>
      <c r="J15" s="166"/>
      <c r="K15" s="166"/>
      <c r="L15" s="83">
        <v>242</v>
      </c>
      <c r="M15" s="83">
        <v>297.3</v>
      </c>
      <c r="N15" s="83">
        <v>90.31</v>
      </c>
      <c r="O15" s="83">
        <f t="shared" si="7"/>
        <v>90.31</v>
      </c>
      <c r="P15" s="90">
        <f t="shared" si="1"/>
        <v>17.100000000000001</v>
      </c>
      <c r="Q15" s="90">
        <f t="shared" si="2"/>
        <v>0.30922242314647375</v>
      </c>
      <c r="R15" s="90">
        <f t="shared" si="3"/>
        <v>46.905949367088603</v>
      </c>
    </row>
    <row r="16" spans="1:19" ht="15.75" x14ac:dyDescent="0.2">
      <c r="A16" s="167"/>
      <c r="B16" s="98">
        <v>0.66666666666666663</v>
      </c>
      <c r="C16" s="83">
        <v>24.69</v>
      </c>
      <c r="D16" s="83">
        <v>44.69</v>
      </c>
      <c r="E16" s="83">
        <v>244.69</v>
      </c>
      <c r="F16" s="76">
        <f t="shared" si="4"/>
        <v>0.17036100000000001</v>
      </c>
      <c r="G16" s="76">
        <f t="shared" si="5"/>
        <v>0.308361</v>
      </c>
      <c r="H16" s="76">
        <f t="shared" si="6"/>
        <v>1.688361</v>
      </c>
      <c r="I16" s="96">
        <v>-17</v>
      </c>
      <c r="J16" s="97">
        <v>86</v>
      </c>
      <c r="K16" s="96">
        <v>35</v>
      </c>
      <c r="L16" s="83">
        <v>245.8</v>
      </c>
      <c r="M16" s="83">
        <v>299.89999999999998</v>
      </c>
      <c r="N16" s="83">
        <v>87.7</v>
      </c>
      <c r="O16" s="83">
        <f t="shared" si="7"/>
        <v>87.7</v>
      </c>
      <c r="P16" s="90">
        <f t="shared" si="1"/>
        <v>17.100000000000001</v>
      </c>
      <c r="Q16" s="90">
        <f t="shared" si="2"/>
        <v>0.31608133086876178</v>
      </c>
      <c r="R16" s="90">
        <f t="shared" si="3"/>
        <v>49.972458410351244</v>
      </c>
    </row>
    <row r="17" spans="1:18" ht="15.75" x14ac:dyDescent="0.2">
      <c r="A17" s="167">
        <v>43533</v>
      </c>
      <c r="B17" s="168">
        <v>8.3333333333333329E-2</v>
      </c>
      <c r="C17" s="83">
        <v>24.69</v>
      </c>
      <c r="D17" s="83">
        <v>64.69</v>
      </c>
      <c r="E17" s="83">
        <v>264.69</v>
      </c>
      <c r="F17" s="76">
        <f t="shared" ref="F17:H21" si="8">C17*0.0069</f>
        <v>0.17036100000000001</v>
      </c>
      <c r="G17" s="76">
        <f t="shared" si="8"/>
        <v>0.44636099999999995</v>
      </c>
      <c r="H17" s="76">
        <f t="shared" si="8"/>
        <v>1.8263609999999999</v>
      </c>
      <c r="I17" s="166">
        <v>-5.5</v>
      </c>
      <c r="J17" s="166">
        <v>89.5</v>
      </c>
      <c r="K17" s="166">
        <v>39</v>
      </c>
      <c r="L17" s="83">
        <v>253.1</v>
      </c>
      <c r="M17" s="83">
        <v>301.3</v>
      </c>
      <c r="N17" s="83">
        <v>92.95</v>
      </c>
      <c r="O17" s="83">
        <f t="shared" si="7"/>
        <v>92.95</v>
      </c>
      <c r="P17" s="90">
        <f t="shared" si="1"/>
        <v>17.100000000000001</v>
      </c>
      <c r="Q17" s="90">
        <f t="shared" si="2"/>
        <v>0.35477178423236505</v>
      </c>
      <c r="R17" s="90">
        <f t="shared" si="3"/>
        <v>56.816701244813252</v>
      </c>
    </row>
    <row r="18" spans="1:18" ht="15.75" x14ac:dyDescent="0.2">
      <c r="A18" s="167"/>
      <c r="B18" s="168"/>
      <c r="C18" s="83">
        <v>26.69</v>
      </c>
      <c r="D18" s="83">
        <v>44.69</v>
      </c>
      <c r="E18" s="83">
        <v>254.69</v>
      </c>
      <c r="F18" s="76">
        <f t="shared" si="8"/>
        <v>0.18416100000000002</v>
      </c>
      <c r="G18" s="76">
        <f t="shared" si="8"/>
        <v>0.308361</v>
      </c>
      <c r="H18" s="76">
        <f t="shared" si="8"/>
        <v>1.757361</v>
      </c>
      <c r="I18" s="166"/>
      <c r="J18" s="166"/>
      <c r="K18" s="166"/>
      <c r="L18" s="83">
        <v>252.9</v>
      </c>
      <c r="M18" s="83">
        <v>302.10000000000002</v>
      </c>
      <c r="N18" s="83">
        <v>92.95</v>
      </c>
      <c r="O18" s="83">
        <f t="shared" si="7"/>
        <v>92.95</v>
      </c>
      <c r="P18" s="90">
        <f t="shared" si="1"/>
        <v>17.100000000000001</v>
      </c>
      <c r="Q18" s="90">
        <f t="shared" si="2"/>
        <v>0.34756097560975602</v>
      </c>
      <c r="R18" s="90">
        <f t="shared" si="3"/>
        <v>55.592378048780468</v>
      </c>
    </row>
    <row r="19" spans="1:18" ht="15.75" x14ac:dyDescent="0.2">
      <c r="A19" s="167"/>
      <c r="B19" s="168">
        <v>0.20833333333333334</v>
      </c>
      <c r="C19" s="83">
        <v>24.69</v>
      </c>
      <c r="D19" s="83">
        <v>64.69</v>
      </c>
      <c r="E19" s="83">
        <v>264.69</v>
      </c>
      <c r="F19" s="76">
        <f t="shared" si="8"/>
        <v>0.17036100000000001</v>
      </c>
      <c r="G19" s="76">
        <f t="shared" si="8"/>
        <v>0.44636099999999995</v>
      </c>
      <c r="H19" s="76">
        <f t="shared" si="8"/>
        <v>1.8263609999999999</v>
      </c>
      <c r="I19" s="166">
        <v>-11.5</v>
      </c>
      <c r="J19" s="166">
        <v>89.5</v>
      </c>
      <c r="K19" s="166">
        <v>39</v>
      </c>
      <c r="L19" s="83">
        <v>249.3</v>
      </c>
      <c r="M19" s="83">
        <v>301.3</v>
      </c>
      <c r="N19" s="83">
        <v>92.95</v>
      </c>
      <c r="O19" s="83">
        <f t="shared" si="7"/>
        <v>92.95</v>
      </c>
      <c r="P19" s="90">
        <f t="shared" si="1"/>
        <v>17.100000000000001</v>
      </c>
      <c r="Q19" s="90">
        <f t="shared" si="2"/>
        <v>0.3288461538461539</v>
      </c>
      <c r="R19" s="90">
        <f t="shared" si="3"/>
        <v>51.415096153846171</v>
      </c>
    </row>
    <row r="20" spans="1:18" ht="15.75" x14ac:dyDescent="0.2">
      <c r="A20" s="167"/>
      <c r="B20" s="168"/>
      <c r="C20" s="83">
        <v>26.69</v>
      </c>
      <c r="D20" s="83">
        <v>44.69</v>
      </c>
      <c r="E20" s="83">
        <v>254.69</v>
      </c>
      <c r="F20" s="76">
        <f t="shared" si="8"/>
        <v>0.18416100000000002</v>
      </c>
      <c r="G20" s="76">
        <f t="shared" si="8"/>
        <v>0.308361</v>
      </c>
      <c r="H20" s="76">
        <f t="shared" si="8"/>
        <v>1.757361</v>
      </c>
      <c r="I20" s="166"/>
      <c r="J20" s="166"/>
      <c r="K20" s="166"/>
      <c r="L20" s="83">
        <v>249</v>
      </c>
      <c r="M20" s="83">
        <v>302.10000000000002</v>
      </c>
      <c r="N20" s="83">
        <v>92.95</v>
      </c>
      <c r="O20" s="83">
        <f t="shared" si="7"/>
        <v>92.95</v>
      </c>
      <c r="P20" s="90">
        <f t="shared" si="1"/>
        <v>17.100000000000001</v>
      </c>
      <c r="Q20" s="90">
        <f t="shared" si="2"/>
        <v>0.32203389830508461</v>
      </c>
      <c r="R20" s="90">
        <f t="shared" si="3"/>
        <v>50.253389830508453</v>
      </c>
    </row>
    <row r="21" spans="1:18" ht="15.75" x14ac:dyDescent="0.2">
      <c r="A21" s="167"/>
      <c r="B21" s="95">
        <v>0.66666666666666663</v>
      </c>
      <c r="C21" s="83">
        <v>25.69</v>
      </c>
      <c r="D21" s="83">
        <v>64.69</v>
      </c>
      <c r="E21" s="83">
        <v>244.69</v>
      </c>
      <c r="F21" s="76">
        <f t="shared" si="8"/>
        <v>0.177261</v>
      </c>
      <c r="G21" s="76">
        <f t="shared" si="8"/>
        <v>0.44636099999999995</v>
      </c>
      <c r="H21" s="76">
        <f t="shared" si="8"/>
        <v>1.688361</v>
      </c>
      <c r="I21" s="96">
        <v>-2</v>
      </c>
      <c r="J21" s="97">
        <v>91</v>
      </c>
      <c r="K21" s="96">
        <v>36</v>
      </c>
      <c r="L21" s="83">
        <v>255.2</v>
      </c>
      <c r="M21" s="83">
        <v>304.2</v>
      </c>
      <c r="N21" s="83">
        <v>89</v>
      </c>
      <c r="O21" s="83">
        <f t="shared" si="7"/>
        <v>89</v>
      </c>
      <c r="P21" s="90">
        <f t="shared" si="1"/>
        <v>17.100000000000001</v>
      </c>
      <c r="Q21" s="90">
        <f t="shared" si="2"/>
        <v>0.34897959183673471</v>
      </c>
      <c r="R21" s="90">
        <f t="shared" si="3"/>
        <v>58.000408163265305</v>
      </c>
    </row>
    <row r="22" spans="1:18" ht="15.75" x14ac:dyDescent="0.2">
      <c r="A22" s="167">
        <v>43534</v>
      </c>
      <c r="B22" s="168">
        <v>0.16666666666666666</v>
      </c>
      <c r="C22" s="83">
        <v>19.690000000000001</v>
      </c>
      <c r="D22" s="83">
        <v>64.69</v>
      </c>
      <c r="E22" s="83">
        <v>244.69</v>
      </c>
      <c r="F22" s="76">
        <f t="shared" si="4"/>
        <v>0.13586100000000001</v>
      </c>
      <c r="G22" s="76">
        <f t="shared" si="5"/>
        <v>0.44636099999999995</v>
      </c>
      <c r="H22" s="76">
        <f t="shared" si="6"/>
        <v>1.688361</v>
      </c>
      <c r="I22" s="166">
        <v>-9.5</v>
      </c>
      <c r="J22" s="166">
        <v>84.5</v>
      </c>
      <c r="K22" s="166">
        <v>39</v>
      </c>
      <c r="L22" s="83">
        <v>251.2</v>
      </c>
      <c r="M22" s="83">
        <v>298.60000000000002</v>
      </c>
      <c r="N22" s="83">
        <v>92.5</v>
      </c>
      <c r="O22" s="83">
        <f t="shared" si="7"/>
        <v>92.5</v>
      </c>
      <c r="P22" s="90">
        <f t="shared" si="1"/>
        <v>17.100000000000001</v>
      </c>
      <c r="Q22" s="90">
        <f t="shared" si="2"/>
        <v>0.36075949367088583</v>
      </c>
      <c r="R22" s="90">
        <f t="shared" si="3"/>
        <v>57.252531645569576</v>
      </c>
    </row>
    <row r="23" spans="1:18" ht="15.75" x14ac:dyDescent="0.2">
      <c r="A23" s="167"/>
      <c r="B23" s="170"/>
      <c r="C23" s="83">
        <v>22.69</v>
      </c>
      <c r="D23" s="83">
        <v>44.69</v>
      </c>
      <c r="E23" s="83">
        <v>244.69</v>
      </c>
      <c r="F23" s="76">
        <f t="shared" si="4"/>
        <v>0.15656100000000001</v>
      </c>
      <c r="G23" s="76">
        <f t="shared" si="5"/>
        <v>0.308361</v>
      </c>
      <c r="H23" s="76">
        <f t="shared" si="6"/>
        <v>1.688361</v>
      </c>
      <c r="I23" s="166"/>
      <c r="J23" s="166"/>
      <c r="K23" s="166"/>
      <c r="L23" s="83">
        <v>250.7</v>
      </c>
      <c r="M23" s="83">
        <v>298.60000000000002</v>
      </c>
      <c r="N23" s="83">
        <v>92.5</v>
      </c>
      <c r="O23" s="83">
        <f t="shared" si="7"/>
        <v>92.5</v>
      </c>
      <c r="P23" s="90">
        <f t="shared" si="1"/>
        <v>17.100000000000001</v>
      </c>
      <c r="Q23" s="90">
        <f t="shared" si="2"/>
        <v>0.35699373695198305</v>
      </c>
      <c r="R23" s="90">
        <f t="shared" si="3"/>
        <v>56.476409185803718</v>
      </c>
    </row>
    <row r="24" spans="1:18" ht="15.75" x14ac:dyDescent="0.2">
      <c r="A24" s="167"/>
      <c r="B24" s="95">
        <v>0.66666666666666663</v>
      </c>
      <c r="C24" s="83">
        <v>26.69</v>
      </c>
      <c r="D24" s="83">
        <v>64.69</v>
      </c>
      <c r="E24" s="83">
        <v>264.69</v>
      </c>
      <c r="F24" s="76">
        <f t="shared" si="4"/>
        <v>0.18416100000000002</v>
      </c>
      <c r="G24" s="76">
        <f t="shared" si="5"/>
        <v>0.44636099999999995</v>
      </c>
      <c r="H24" s="76">
        <f t="shared" si="6"/>
        <v>1.8263609999999999</v>
      </c>
      <c r="I24" s="96">
        <v>-8.5</v>
      </c>
      <c r="J24" s="97">
        <v>85.5</v>
      </c>
      <c r="K24" s="96">
        <v>37.5</v>
      </c>
      <c r="L24" s="83">
        <v>251</v>
      </c>
      <c r="M24" s="83">
        <v>297.8</v>
      </c>
      <c r="N24" s="83">
        <v>90.97</v>
      </c>
      <c r="O24" s="83">
        <f t="shared" si="7"/>
        <v>90.97</v>
      </c>
      <c r="P24" s="90">
        <f t="shared" si="1"/>
        <v>17.100000000000001</v>
      </c>
      <c r="Q24" s="90">
        <f t="shared" si="2"/>
        <v>0.36538461538461531</v>
      </c>
      <c r="R24" s="90">
        <f t="shared" si="3"/>
        <v>58.472499999999989</v>
      </c>
    </row>
    <row r="25" spans="1:18" ht="15.75" x14ac:dyDescent="0.2">
      <c r="A25" s="103">
        <v>43546</v>
      </c>
      <c r="B25" s="95">
        <v>0.77083333333333337</v>
      </c>
      <c r="C25" s="83">
        <v>22.69</v>
      </c>
      <c r="D25" s="83">
        <v>54.69</v>
      </c>
      <c r="E25" s="83">
        <v>234.69</v>
      </c>
      <c r="F25" s="76">
        <f t="shared" si="4"/>
        <v>0.15656100000000001</v>
      </c>
      <c r="G25" s="76">
        <f t="shared" si="5"/>
        <v>0.377361</v>
      </c>
      <c r="H25" s="76">
        <f t="shared" si="6"/>
        <v>1.6193610000000001</v>
      </c>
      <c r="I25" s="96">
        <v>3.5</v>
      </c>
      <c r="J25" s="97">
        <v>85</v>
      </c>
      <c r="K25" s="96">
        <v>34.5</v>
      </c>
      <c r="L25" s="83">
        <v>259.10000000000002</v>
      </c>
      <c r="M25" s="83">
        <v>299.8</v>
      </c>
      <c r="N25" s="83">
        <v>87.05</v>
      </c>
      <c r="O25" s="83">
        <f t="shared" si="7"/>
        <v>87.05</v>
      </c>
      <c r="P25" s="90">
        <f t="shared" si="1"/>
        <v>17.100000000000001</v>
      </c>
      <c r="Q25" s="90">
        <f t="shared" si="2"/>
        <v>0.42014742014742029</v>
      </c>
      <c r="R25" s="90">
        <f t="shared" si="3"/>
        <v>72.28636363636366</v>
      </c>
    </row>
    <row r="26" spans="1:18" ht="15.75" x14ac:dyDescent="0.2">
      <c r="A26" s="167">
        <v>43547</v>
      </c>
      <c r="B26" s="95">
        <v>0.22916666666666666</v>
      </c>
      <c r="C26" s="83">
        <v>22.69</v>
      </c>
      <c r="D26" s="83">
        <v>54.69</v>
      </c>
      <c r="E26" s="83">
        <v>234.69</v>
      </c>
      <c r="F26" s="76">
        <f t="shared" si="4"/>
        <v>0.15656100000000001</v>
      </c>
      <c r="G26" s="76">
        <f t="shared" si="5"/>
        <v>0.377361</v>
      </c>
      <c r="H26" s="76">
        <f t="shared" si="6"/>
        <v>1.6193610000000001</v>
      </c>
      <c r="I26" s="96">
        <v>-15</v>
      </c>
      <c r="J26" s="97">
        <v>76.5</v>
      </c>
      <c r="K26" s="96">
        <v>35</v>
      </c>
      <c r="L26" s="83">
        <v>247.2</v>
      </c>
      <c r="M26" s="83">
        <v>292.5</v>
      </c>
      <c r="N26" s="83">
        <v>87.7</v>
      </c>
      <c r="O26" s="83">
        <f t="shared" si="7"/>
        <v>87.7</v>
      </c>
      <c r="P26" s="90">
        <f t="shared" si="1"/>
        <v>17.100000000000001</v>
      </c>
      <c r="Q26" s="90">
        <f t="shared" si="2"/>
        <v>0.3774834437086092</v>
      </c>
      <c r="R26" s="90">
        <f t="shared" si="3"/>
        <v>60.208609271523166</v>
      </c>
    </row>
    <row r="27" spans="1:18" ht="15.75" x14ac:dyDescent="0.2">
      <c r="A27" s="167"/>
      <c r="B27" s="95">
        <v>0.66666666666666663</v>
      </c>
      <c r="C27" s="83">
        <v>26.69</v>
      </c>
      <c r="D27" s="83">
        <v>44.69</v>
      </c>
      <c r="E27" s="83">
        <v>234.69</v>
      </c>
      <c r="F27" s="76">
        <f t="shared" si="4"/>
        <v>0.18416100000000002</v>
      </c>
      <c r="G27" s="76">
        <f t="shared" si="5"/>
        <v>0.308361</v>
      </c>
      <c r="H27" s="76">
        <f t="shared" si="6"/>
        <v>1.6193610000000001</v>
      </c>
      <c r="I27" s="96">
        <v>-8</v>
      </c>
      <c r="J27" s="97">
        <v>94.5</v>
      </c>
      <c r="K27" s="96">
        <v>38</v>
      </c>
      <c r="L27" s="83">
        <v>251.3</v>
      </c>
      <c r="M27" s="83">
        <v>307.89999999999998</v>
      </c>
      <c r="N27" s="83">
        <v>91.63</v>
      </c>
      <c r="O27" s="83">
        <f t="shared" si="7"/>
        <v>91.63</v>
      </c>
      <c r="P27" s="90">
        <f t="shared" si="1"/>
        <v>17.100000000000001</v>
      </c>
      <c r="Q27" s="90">
        <f t="shared" si="2"/>
        <v>0.30212014134275639</v>
      </c>
      <c r="R27" s="90">
        <f t="shared" si="3"/>
        <v>48.239522968197917</v>
      </c>
    </row>
    <row r="28" spans="1:18" ht="15.75" x14ac:dyDescent="0.2">
      <c r="A28" s="103">
        <v>43548</v>
      </c>
      <c r="B28" s="95">
        <v>0.69444444444444453</v>
      </c>
      <c r="C28" s="83">
        <v>26.69</v>
      </c>
      <c r="D28" s="83">
        <v>44.69</v>
      </c>
      <c r="E28" s="83">
        <v>244.69</v>
      </c>
      <c r="F28" s="76">
        <f t="shared" si="4"/>
        <v>0.18416100000000002</v>
      </c>
      <c r="G28" s="76">
        <f t="shared" si="5"/>
        <v>0.308361</v>
      </c>
      <c r="H28" s="76">
        <f t="shared" si="6"/>
        <v>1.688361</v>
      </c>
      <c r="I28" s="96">
        <v>-5</v>
      </c>
      <c r="J28" s="97">
        <v>93</v>
      </c>
      <c r="K28" s="96">
        <v>38</v>
      </c>
      <c r="L28" s="83">
        <v>253.2</v>
      </c>
      <c r="M28" s="83">
        <v>305.89999999999998</v>
      </c>
      <c r="N28" s="83">
        <v>91.63</v>
      </c>
      <c r="O28" s="83">
        <f t="shared" si="7"/>
        <v>91.63</v>
      </c>
      <c r="P28" s="90">
        <f t="shared" si="1"/>
        <v>17.100000000000001</v>
      </c>
      <c r="Q28" s="90">
        <f t="shared" si="2"/>
        <v>0.32447817836812154</v>
      </c>
      <c r="R28" s="90">
        <f t="shared" si="3"/>
        <v>52.425939278937392</v>
      </c>
    </row>
    <row r="29" spans="1:18" ht="15.75" x14ac:dyDescent="0.2">
      <c r="A29" s="167">
        <v>43549</v>
      </c>
      <c r="B29" s="168">
        <v>0.16666666666666666</v>
      </c>
      <c r="C29" s="83">
        <v>24.69</v>
      </c>
      <c r="D29" s="83">
        <v>54.69</v>
      </c>
      <c r="E29" s="83">
        <v>244.69</v>
      </c>
      <c r="F29" s="76">
        <f t="shared" si="4"/>
        <v>0.17036100000000001</v>
      </c>
      <c r="G29" s="76">
        <f t="shared" si="5"/>
        <v>0.377361</v>
      </c>
      <c r="H29" s="76">
        <f t="shared" si="6"/>
        <v>1.688361</v>
      </c>
      <c r="I29" s="171">
        <v>-15</v>
      </c>
      <c r="J29" s="171">
        <v>93.5</v>
      </c>
      <c r="K29" s="171">
        <v>38</v>
      </c>
      <c r="L29" s="83">
        <v>247</v>
      </c>
      <c r="M29" s="83">
        <v>306.3</v>
      </c>
      <c r="N29" s="83">
        <v>91.63</v>
      </c>
      <c r="O29" s="83">
        <f t="shared" si="7"/>
        <v>91.63</v>
      </c>
      <c r="P29" s="90">
        <f t="shared" si="1"/>
        <v>17.100000000000001</v>
      </c>
      <c r="Q29" s="90">
        <f t="shared" si="2"/>
        <v>0.28836424957841483</v>
      </c>
      <c r="R29" s="90">
        <f t="shared" si="3"/>
        <v>44.803153456998317</v>
      </c>
    </row>
    <row r="30" spans="1:18" ht="15.75" x14ac:dyDescent="0.2">
      <c r="A30" s="167"/>
      <c r="B30" s="168"/>
      <c r="C30" s="83">
        <v>24.69</v>
      </c>
      <c r="D30" s="83">
        <v>64.69</v>
      </c>
      <c r="E30" s="83">
        <v>254.69</v>
      </c>
      <c r="F30" s="76">
        <f t="shared" si="4"/>
        <v>0.17036100000000001</v>
      </c>
      <c r="G30" s="76">
        <f t="shared" si="5"/>
        <v>0.44636099999999995</v>
      </c>
      <c r="H30" s="76">
        <f t="shared" si="6"/>
        <v>1.757361</v>
      </c>
      <c r="I30" s="171"/>
      <c r="J30" s="171"/>
      <c r="K30" s="171"/>
      <c r="L30" s="83">
        <v>247</v>
      </c>
      <c r="M30" s="83">
        <v>305.89999999999998</v>
      </c>
      <c r="N30" s="83">
        <v>91.63</v>
      </c>
      <c r="O30" s="83">
        <f t="shared" si="7"/>
        <v>91.63</v>
      </c>
      <c r="P30" s="90">
        <f t="shared" si="1"/>
        <v>17.100000000000001</v>
      </c>
      <c r="Q30" s="90">
        <f t="shared" si="2"/>
        <v>0.29032258064516142</v>
      </c>
      <c r="R30" s="90">
        <f t="shared" si="3"/>
        <v>45.107419354838733</v>
      </c>
    </row>
    <row r="31" spans="1:18" ht="15.75" x14ac:dyDescent="0.2">
      <c r="A31" s="167">
        <v>43550</v>
      </c>
      <c r="B31" s="168">
        <v>0.20833333333333334</v>
      </c>
      <c r="C31" s="83">
        <v>24.69</v>
      </c>
      <c r="D31" s="83">
        <v>64.69</v>
      </c>
      <c r="E31" s="83">
        <v>264.69</v>
      </c>
      <c r="F31" s="76">
        <f t="shared" si="4"/>
        <v>0.17036100000000001</v>
      </c>
      <c r="G31" s="76">
        <f t="shared" si="5"/>
        <v>0.44636099999999995</v>
      </c>
      <c r="H31" s="76">
        <f t="shared" si="6"/>
        <v>1.8263609999999999</v>
      </c>
      <c r="I31" s="166">
        <v>-2</v>
      </c>
      <c r="J31" s="166">
        <v>97</v>
      </c>
      <c r="K31" s="166">
        <v>41</v>
      </c>
      <c r="L31" s="83">
        <v>255.4</v>
      </c>
      <c r="M31" s="83">
        <v>307.8</v>
      </c>
      <c r="N31" s="83">
        <v>95.6</v>
      </c>
      <c r="O31" s="83">
        <f t="shared" si="7"/>
        <v>95.6</v>
      </c>
      <c r="P31" s="90">
        <f t="shared" si="1"/>
        <v>17.100000000000001</v>
      </c>
      <c r="Q31" s="90">
        <f t="shared" si="2"/>
        <v>0.32633587786259544</v>
      </c>
      <c r="R31" s="90">
        <f t="shared" si="3"/>
        <v>52.148473282442751</v>
      </c>
    </row>
    <row r="32" spans="1:18" ht="15.75" x14ac:dyDescent="0.2">
      <c r="A32" s="167"/>
      <c r="B32" s="170"/>
      <c r="C32" s="83">
        <v>24.69</v>
      </c>
      <c r="D32" s="83">
        <v>44.69</v>
      </c>
      <c r="E32" s="83">
        <v>264.69</v>
      </c>
      <c r="F32" s="76">
        <f t="shared" si="4"/>
        <v>0.17036100000000001</v>
      </c>
      <c r="G32" s="76">
        <f t="shared" si="5"/>
        <v>0.308361</v>
      </c>
      <c r="H32" s="76">
        <f t="shared" si="6"/>
        <v>1.8263609999999999</v>
      </c>
      <c r="I32" s="166"/>
      <c r="J32" s="166"/>
      <c r="K32" s="166"/>
      <c r="L32" s="83">
        <v>255.4</v>
      </c>
      <c r="M32" s="83">
        <v>307.8</v>
      </c>
      <c r="N32" s="83">
        <v>95.6</v>
      </c>
      <c r="O32" s="83">
        <f t="shared" si="7"/>
        <v>95.6</v>
      </c>
      <c r="P32" s="90">
        <f t="shared" si="1"/>
        <v>17.100000000000001</v>
      </c>
      <c r="Q32" s="90">
        <f t="shared" si="2"/>
        <v>0.32633587786259544</v>
      </c>
      <c r="R32" s="90">
        <f t="shared" si="3"/>
        <v>52.148473282442751</v>
      </c>
    </row>
    <row r="33" spans="1:18" ht="15.75" x14ac:dyDescent="0.2">
      <c r="A33" s="167"/>
      <c r="B33" s="168">
        <v>0.66666666666666663</v>
      </c>
      <c r="C33" s="83">
        <v>24.69</v>
      </c>
      <c r="D33" s="83">
        <v>64.69</v>
      </c>
      <c r="E33" s="83">
        <v>274.69</v>
      </c>
      <c r="F33" s="76">
        <f t="shared" si="4"/>
        <v>0.17036100000000001</v>
      </c>
      <c r="G33" s="76">
        <f t="shared" si="5"/>
        <v>0.44636099999999995</v>
      </c>
      <c r="H33" s="76">
        <f t="shared" si="6"/>
        <v>1.8953609999999999</v>
      </c>
      <c r="I33" s="166">
        <v>-21</v>
      </c>
      <c r="J33" s="166">
        <v>90.5</v>
      </c>
      <c r="K33" s="166">
        <v>41</v>
      </c>
      <c r="L33" s="83">
        <v>243.2</v>
      </c>
      <c r="M33" s="83">
        <v>301.3</v>
      </c>
      <c r="N33" s="83">
        <v>95.6</v>
      </c>
      <c r="O33" s="83">
        <f t="shared" si="7"/>
        <v>95.6</v>
      </c>
      <c r="P33" s="90">
        <f t="shared" si="1"/>
        <v>17.100000000000001</v>
      </c>
      <c r="Q33" s="90">
        <f t="shared" si="2"/>
        <v>0.29432013769363158</v>
      </c>
      <c r="R33" s="90">
        <f t="shared" si="3"/>
        <v>43.441652323580023</v>
      </c>
    </row>
    <row r="34" spans="1:18" ht="15.75" x14ac:dyDescent="0.2">
      <c r="A34" s="167"/>
      <c r="B34" s="170"/>
      <c r="C34" s="83">
        <v>26.69</v>
      </c>
      <c r="D34" s="83">
        <v>44.69</v>
      </c>
      <c r="E34" s="83">
        <v>264.69</v>
      </c>
      <c r="F34" s="76">
        <f t="shared" si="4"/>
        <v>0.18416100000000002</v>
      </c>
      <c r="G34" s="76">
        <f t="shared" si="5"/>
        <v>0.308361</v>
      </c>
      <c r="H34" s="76">
        <f t="shared" si="6"/>
        <v>1.8263609999999999</v>
      </c>
      <c r="I34" s="166"/>
      <c r="J34" s="166"/>
      <c r="K34" s="166"/>
      <c r="L34" s="83">
        <v>243</v>
      </c>
      <c r="M34" s="83">
        <v>302.10000000000002</v>
      </c>
      <c r="N34" s="83">
        <v>95.6</v>
      </c>
      <c r="O34" s="83">
        <f t="shared" si="7"/>
        <v>95.6</v>
      </c>
      <c r="P34" s="90">
        <f t="shared" si="1"/>
        <v>17.100000000000001</v>
      </c>
      <c r="Q34" s="90">
        <f t="shared" si="2"/>
        <v>0.28934010152284256</v>
      </c>
      <c r="R34" s="90">
        <f t="shared" si="3"/>
        <v>42.648730964466992</v>
      </c>
    </row>
    <row r="35" spans="1:18" ht="15.75" x14ac:dyDescent="0.2">
      <c r="A35" s="167">
        <v>43551</v>
      </c>
      <c r="B35" s="168">
        <v>0.16666666666666666</v>
      </c>
      <c r="C35" s="83">
        <v>22.69</v>
      </c>
      <c r="D35" s="83">
        <v>64.69</v>
      </c>
      <c r="E35" s="83">
        <v>264.69</v>
      </c>
      <c r="F35" s="76">
        <f t="shared" si="4"/>
        <v>0.15656100000000001</v>
      </c>
      <c r="G35" s="76">
        <f t="shared" si="5"/>
        <v>0.44636099999999995</v>
      </c>
      <c r="H35" s="76">
        <f t="shared" si="6"/>
        <v>1.8263609999999999</v>
      </c>
      <c r="I35" s="166">
        <v>-24</v>
      </c>
      <c r="J35" s="166">
        <v>99</v>
      </c>
      <c r="K35" s="166">
        <v>41</v>
      </c>
      <c r="L35" s="83">
        <v>241.6</v>
      </c>
      <c r="M35" s="83">
        <v>309.5</v>
      </c>
      <c r="N35" s="83">
        <v>95.6</v>
      </c>
      <c r="O35" s="83">
        <f t="shared" si="7"/>
        <v>95.6</v>
      </c>
      <c r="P35" s="90">
        <f t="shared" si="1"/>
        <v>17.100000000000001</v>
      </c>
      <c r="Q35" s="90">
        <f t="shared" si="2"/>
        <v>0.25184094256259204</v>
      </c>
      <c r="R35" s="90">
        <f t="shared" si="3"/>
        <v>36.768777614138436</v>
      </c>
    </row>
    <row r="36" spans="1:18" ht="15.75" x14ac:dyDescent="0.2">
      <c r="A36" s="167"/>
      <c r="B36" s="170"/>
      <c r="C36" s="83">
        <v>24.69</v>
      </c>
      <c r="D36" s="83">
        <v>44.69</v>
      </c>
      <c r="E36" s="83">
        <v>264.69</v>
      </c>
      <c r="F36" s="76">
        <f t="shared" si="4"/>
        <v>0.17036100000000001</v>
      </c>
      <c r="G36" s="76">
        <f t="shared" si="5"/>
        <v>0.308361</v>
      </c>
      <c r="H36" s="76">
        <f t="shared" si="6"/>
        <v>1.8263609999999999</v>
      </c>
      <c r="I36" s="166"/>
      <c r="J36" s="166"/>
      <c r="K36" s="166"/>
      <c r="L36" s="83">
        <v>241.3</v>
      </c>
      <c r="M36" s="83">
        <v>309.5</v>
      </c>
      <c r="N36" s="83">
        <v>95.6</v>
      </c>
      <c r="O36" s="83">
        <f t="shared" si="7"/>
        <v>95.6</v>
      </c>
      <c r="P36" s="90">
        <f t="shared" si="1"/>
        <v>17.100000000000001</v>
      </c>
      <c r="Q36" s="90">
        <f t="shared" si="2"/>
        <v>0.25073313782991208</v>
      </c>
      <c r="R36" s="90">
        <f t="shared" si="3"/>
        <v>36.531818181818196</v>
      </c>
    </row>
    <row r="37" spans="1:18" ht="15.75" x14ac:dyDescent="0.2">
      <c r="A37" s="167"/>
      <c r="B37" s="168">
        <v>0.70833333333333337</v>
      </c>
      <c r="C37" s="83">
        <v>22.69</v>
      </c>
      <c r="D37" s="83">
        <v>64.69</v>
      </c>
      <c r="E37" s="83">
        <v>264.69</v>
      </c>
      <c r="F37" s="76">
        <f t="shared" si="4"/>
        <v>0.15656100000000001</v>
      </c>
      <c r="G37" s="76">
        <f t="shared" si="5"/>
        <v>0.44636099999999995</v>
      </c>
      <c r="H37" s="76">
        <f t="shared" si="6"/>
        <v>1.8263609999999999</v>
      </c>
      <c r="I37" s="166">
        <v>-16</v>
      </c>
      <c r="J37" s="166">
        <v>90</v>
      </c>
      <c r="K37" s="166">
        <v>40</v>
      </c>
      <c r="L37" s="83">
        <v>246.6</v>
      </c>
      <c r="M37" s="83">
        <v>301.7</v>
      </c>
      <c r="N37" s="83">
        <v>94.27</v>
      </c>
      <c r="O37" s="83">
        <f t="shared" si="7"/>
        <v>94.27</v>
      </c>
      <c r="P37" s="90">
        <f t="shared" si="1"/>
        <v>17.100000000000001</v>
      </c>
      <c r="Q37" s="90">
        <f t="shared" si="2"/>
        <v>0.31034482758620696</v>
      </c>
      <c r="R37" s="90">
        <f t="shared" si="3"/>
        <v>47.274827586206904</v>
      </c>
    </row>
    <row r="38" spans="1:18" ht="15.75" x14ac:dyDescent="0.2">
      <c r="A38" s="167"/>
      <c r="B38" s="170"/>
      <c r="C38" s="83">
        <v>24.69</v>
      </c>
      <c r="D38" s="83">
        <v>44.69</v>
      </c>
      <c r="E38" s="83">
        <v>264.69</v>
      </c>
      <c r="F38" s="76">
        <f t="shared" si="4"/>
        <v>0.17036100000000001</v>
      </c>
      <c r="G38" s="76">
        <f t="shared" si="5"/>
        <v>0.308361</v>
      </c>
      <c r="H38" s="76">
        <f t="shared" si="6"/>
        <v>1.8263609999999999</v>
      </c>
      <c r="I38" s="166"/>
      <c r="J38" s="166"/>
      <c r="K38" s="166"/>
      <c r="L38" s="83">
        <v>246.4</v>
      </c>
      <c r="M38" s="83">
        <v>301.7</v>
      </c>
      <c r="N38" s="83">
        <v>94.27</v>
      </c>
      <c r="O38" s="83">
        <f t="shared" si="7"/>
        <v>94.27</v>
      </c>
      <c r="P38" s="90">
        <f t="shared" si="1"/>
        <v>17.100000000000001</v>
      </c>
      <c r="Q38" s="90">
        <f t="shared" si="2"/>
        <v>0.30922242314647391</v>
      </c>
      <c r="R38" s="90">
        <f t="shared" si="3"/>
        <v>47.042007233273075</v>
      </c>
    </row>
    <row r="39" spans="1:18" ht="15.75" x14ac:dyDescent="0.2">
      <c r="A39" s="167">
        <v>43552</v>
      </c>
      <c r="B39" s="168">
        <v>0.1875</v>
      </c>
      <c r="C39" s="83">
        <v>19.690000000000001</v>
      </c>
      <c r="D39" s="83">
        <v>64.69</v>
      </c>
      <c r="E39" s="83">
        <v>264.69</v>
      </c>
      <c r="F39" s="76">
        <f t="shared" si="4"/>
        <v>0.13586100000000001</v>
      </c>
      <c r="G39" s="76">
        <f t="shared" si="5"/>
        <v>0.44636099999999995</v>
      </c>
      <c r="H39" s="76">
        <f t="shared" si="6"/>
        <v>1.8263609999999999</v>
      </c>
      <c r="I39" s="166">
        <v>-17.5</v>
      </c>
      <c r="J39" s="166">
        <v>86.5</v>
      </c>
      <c r="K39" s="166">
        <v>39.5</v>
      </c>
      <c r="L39" s="83">
        <v>246.1</v>
      </c>
      <c r="M39" s="83">
        <v>298.60000000000002</v>
      </c>
      <c r="N39" s="83">
        <v>93.61</v>
      </c>
      <c r="O39" s="83">
        <f t="shared" si="7"/>
        <v>93.61</v>
      </c>
      <c r="P39" s="90">
        <f t="shared" si="1"/>
        <v>17.100000000000001</v>
      </c>
      <c r="Q39" s="90">
        <f t="shared" si="2"/>
        <v>0.32571428571428557</v>
      </c>
      <c r="R39" s="90">
        <f t="shared" si="3"/>
        <v>49.668171428571412</v>
      </c>
    </row>
    <row r="40" spans="1:18" ht="15.75" x14ac:dyDescent="0.2">
      <c r="A40" s="167"/>
      <c r="B40" s="170"/>
      <c r="C40" s="83">
        <v>22.69</v>
      </c>
      <c r="D40" s="83">
        <v>44.69</v>
      </c>
      <c r="E40" s="83">
        <v>264.69</v>
      </c>
      <c r="F40" s="76">
        <f t="shared" si="4"/>
        <v>0.15656100000000001</v>
      </c>
      <c r="G40" s="76">
        <f t="shared" si="5"/>
        <v>0.308361</v>
      </c>
      <c r="H40" s="76">
        <f t="shared" si="6"/>
        <v>1.8263609999999999</v>
      </c>
      <c r="I40" s="166"/>
      <c r="J40" s="166"/>
      <c r="K40" s="166"/>
      <c r="L40" s="83">
        <v>245.7</v>
      </c>
      <c r="M40" s="83">
        <v>298.60000000000002</v>
      </c>
      <c r="N40" s="83">
        <v>93.61</v>
      </c>
      <c r="O40" s="83">
        <f t="shared" si="7"/>
        <v>93.61</v>
      </c>
      <c r="P40" s="90">
        <f t="shared" si="1"/>
        <v>17.100000000000001</v>
      </c>
      <c r="Q40" s="90">
        <f t="shared" si="2"/>
        <v>0.32325141776937599</v>
      </c>
      <c r="R40" s="90">
        <f t="shared" si="3"/>
        <v>49.163308128544386</v>
      </c>
    </row>
    <row r="41" spans="1:18" ht="15.75" x14ac:dyDescent="0.2">
      <c r="A41" s="167"/>
      <c r="B41" s="95">
        <v>0.6875</v>
      </c>
      <c r="C41" s="83">
        <v>19.690000000000001</v>
      </c>
      <c r="D41" s="83">
        <v>64.69</v>
      </c>
      <c r="E41" s="83">
        <v>244.69</v>
      </c>
      <c r="F41" s="76">
        <f t="shared" si="4"/>
        <v>0.13586100000000001</v>
      </c>
      <c r="G41" s="76">
        <f t="shared" si="5"/>
        <v>0.44636099999999995</v>
      </c>
      <c r="H41" s="76">
        <f t="shared" si="6"/>
        <v>1.688361</v>
      </c>
      <c r="I41" s="96">
        <v>-22</v>
      </c>
      <c r="J41" s="97">
        <v>78.5</v>
      </c>
      <c r="K41" s="96">
        <v>35</v>
      </c>
      <c r="L41" s="83">
        <v>243.3</v>
      </c>
      <c r="M41" s="83">
        <v>293.39999999999998</v>
      </c>
      <c r="N41" s="83">
        <v>87.7</v>
      </c>
      <c r="O41" s="83">
        <f t="shared" si="7"/>
        <v>87.7</v>
      </c>
      <c r="P41" s="90">
        <f t="shared" si="1"/>
        <v>17.100000000000001</v>
      </c>
      <c r="Q41" s="90">
        <f t="shared" si="2"/>
        <v>0.34131736526946133</v>
      </c>
      <c r="R41" s="90">
        <f t="shared" si="3"/>
        <v>53.108982035928193</v>
      </c>
    </row>
    <row r="42" spans="1:18" ht="15.75" x14ac:dyDescent="0.2">
      <c r="A42" s="103">
        <v>43554</v>
      </c>
      <c r="B42" s="95">
        <v>0.75</v>
      </c>
      <c r="C42" s="83">
        <v>24.69</v>
      </c>
      <c r="D42" s="83">
        <v>64.69</v>
      </c>
      <c r="E42" s="83">
        <v>234.69</v>
      </c>
      <c r="F42" s="76">
        <f t="shared" si="4"/>
        <v>0.17036100000000001</v>
      </c>
      <c r="G42" s="76">
        <f t="shared" si="5"/>
        <v>0.44636099999999995</v>
      </c>
      <c r="H42" s="76">
        <f t="shared" si="6"/>
        <v>1.6193610000000001</v>
      </c>
      <c r="I42" s="96">
        <v>-17</v>
      </c>
      <c r="J42" s="97">
        <v>86.5</v>
      </c>
      <c r="K42" s="96">
        <v>35.5</v>
      </c>
      <c r="L42" s="83">
        <v>245.8</v>
      </c>
      <c r="M42" s="83">
        <v>301.10000000000002</v>
      </c>
      <c r="N42" s="83">
        <v>88.35</v>
      </c>
      <c r="O42" s="83">
        <f t="shared" si="7"/>
        <v>88.35</v>
      </c>
      <c r="P42" s="90">
        <f t="shared" si="1"/>
        <v>17.100000000000001</v>
      </c>
      <c r="Q42" s="90">
        <f t="shared" si="2"/>
        <v>0.30922242314647375</v>
      </c>
      <c r="R42" s="90">
        <f t="shared" si="3"/>
        <v>48.687070524412299</v>
      </c>
    </row>
    <row r="43" spans="1:18" ht="15.75" x14ac:dyDescent="0.2">
      <c r="A43" s="103">
        <v>43555</v>
      </c>
      <c r="B43" s="95">
        <v>0.66666666666666663</v>
      </c>
      <c r="C43" s="83">
        <v>22.69</v>
      </c>
      <c r="D43" s="83">
        <v>64.69</v>
      </c>
      <c r="E43" s="83">
        <v>244.69</v>
      </c>
      <c r="F43" s="76">
        <f t="shared" si="4"/>
        <v>0.15656100000000001</v>
      </c>
      <c r="G43" s="76">
        <f t="shared" si="5"/>
        <v>0.44636099999999995</v>
      </c>
      <c r="H43" s="76">
        <f t="shared" si="6"/>
        <v>1.688361</v>
      </c>
      <c r="I43" s="96">
        <v>-20</v>
      </c>
      <c r="J43" s="97">
        <v>80</v>
      </c>
      <c r="K43" s="96">
        <v>36</v>
      </c>
      <c r="L43" s="83">
        <v>244.1</v>
      </c>
      <c r="M43" s="83">
        <v>294.7</v>
      </c>
      <c r="N43" s="83">
        <v>89</v>
      </c>
      <c r="O43" s="83">
        <f t="shared" si="7"/>
        <v>89</v>
      </c>
      <c r="P43" s="90">
        <f t="shared" si="1"/>
        <v>17.100000000000001</v>
      </c>
      <c r="Q43" s="90">
        <f t="shared" si="2"/>
        <v>0.3379446640316206</v>
      </c>
      <c r="R43" s="90">
        <f t="shared" si="3"/>
        <v>52.415217391304353</v>
      </c>
    </row>
    <row r="44" spans="1:18" ht="15.75" x14ac:dyDescent="0.2">
      <c r="A44" s="103">
        <v>43556</v>
      </c>
      <c r="B44" s="95">
        <v>0.70833333333333337</v>
      </c>
      <c r="C44" s="83">
        <v>24.69</v>
      </c>
      <c r="D44" s="83">
        <v>44.69</v>
      </c>
      <c r="E44" s="83">
        <v>234.69</v>
      </c>
      <c r="F44" s="76">
        <f t="shared" si="4"/>
        <v>0.17036100000000001</v>
      </c>
      <c r="G44" s="76">
        <f t="shared" si="5"/>
        <v>0.308361</v>
      </c>
      <c r="H44" s="76">
        <f t="shared" si="6"/>
        <v>1.6193610000000001</v>
      </c>
      <c r="I44" s="96">
        <v>-15.5</v>
      </c>
      <c r="J44" s="97">
        <v>80</v>
      </c>
      <c r="K44" s="96">
        <v>37</v>
      </c>
      <c r="L44" s="83">
        <v>246.7</v>
      </c>
      <c r="M44" s="83">
        <v>295.60000000000002</v>
      </c>
      <c r="N44" s="83">
        <v>90.31</v>
      </c>
      <c r="O44" s="83">
        <f t="shared" si="7"/>
        <v>90.31</v>
      </c>
      <c r="P44" s="90">
        <f t="shared" si="1"/>
        <v>17.100000000000001</v>
      </c>
      <c r="Q44" s="90">
        <f t="shared" si="2"/>
        <v>0.34969325153374209</v>
      </c>
      <c r="R44" s="90">
        <f t="shared" si="3"/>
        <v>54.68852760736192</v>
      </c>
    </row>
    <row r="45" spans="1:18" ht="15.75" x14ac:dyDescent="0.2">
      <c r="A45" s="167">
        <v>43557</v>
      </c>
      <c r="B45" s="168">
        <v>0.22916666666666666</v>
      </c>
      <c r="C45" s="83">
        <v>22.69</v>
      </c>
      <c r="D45" s="83">
        <v>64.69</v>
      </c>
      <c r="E45" s="83">
        <v>264.69</v>
      </c>
      <c r="F45" s="76">
        <f t="shared" si="4"/>
        <v>0.15656100000000001</v>
      </c>
      <c r="G45" s="76">
        <f t="shared" si="5"/>
        <v>0.44636099999999995</v>
      </c>
      <c r="H45" s="76">
        <f t="shared" si="6"/>
        <v>1.8263609999999999</v>
      </c>
      <c r="I45" s="166">
        <v>-14</v>
      </c>
      <c r="J45" s="166">
        <v>92</v>
      </c>
      <c r="K45" s="166">
        <v>41</v>
      </c>
      <c r="L45" s="83">
        <v>247.9</v>
      </c>
      <c r="M45" s="83">
        <v>303.39999999999998</v>
      </c>
      <c r="N45" s="83">
        <v>95.6</v>
      </c>
      <c r="O45" s="83">
        <f t="shared" si="7"/>
        <v>95.6</v>
      </c>
      <c r="P45" s="90">
        <f t="shared" si="1"/>
        <v>17.100000000000001</v>
      </c>
      <c r="Q45" s="90">
        <f t="shared" si="2"/>
        <v>0.30810810810810829</v>
      </c>
      <c r="R45" s="90">
        <f t="shared" si="3"/>
        <v>46.924864864864894</v>
      </c>
    </row>
    <row r="46" spans="1:18" ht="15.75" x14ac:dyDescent="0.2">
      <c r="A46" s="167"/>
      <c r="B46" s="168"/>
      <c r="C46" s="83">
        <v>24.69</v>
      </c>
      <c r="D46" s="83">
        <v>44.69</v>
      </c>
      <c r="E46" s="83">
        <v>254.69</v>
      </c>
      <c r="F46" s="76">
        <f t="shared" si="4"/>
        <v>0.17036100000000001</v>
      </c>
      <c r="G46" s="76">
        <f t="shared" si="5"/>
        <v>0.308361</v>
      </c>
      <c r="H46" s="76">
        <f t="shared" si="6"/>
        <v>1.757361</v>
      </c>
      <c r="I46" s="166"/>
      <c r="J46" s="166"/>
      <c r="K46" s="166"/>
      <c r="L46" s="83">
        <v>247.7</v>
      </c>
      <c r="M46" s="83">
        <v>304.2</v>
      </c>
      <c r="N46" s="83">
        <v>95.6</v>
      </c>
      <c r="O46" s="83">
        <f t="shared" si="7"/>
        <v>95.6</v>
      </c>
      <c r="P46" s="90">
        <f t="shared" si="1"/>
        <v>17.100000000000001</v>
      </c>
      <c r="Q46" s="90">
        <f t="shared" si="2"/>
        <v>0.30265486725663721</v>
      </c>
      <c r="R46" s="90">
        <f t="shared" si="3"/>
        <v>46.033805309734518</v>
      </c>
    </row>
    <row r="47" spans="1:18" ht="15.75" x14ac:dyDescent="0.2">
      <c r="A47" s="167"/>
      <c r="B47" s="168">
        <v>0.68055555555555547</v>
      </c>
      <c r="C47" s="83">
        <v>22.69</v>
      </c>
      <c r="D47" s="83">
        <v>64.69</v>
      </c>
      <c r="E47" s="83">
        <v>264.69</v>
      </c>
      <c r="F47" s="76">
        <f t="shared" si="4"/>
        <v>0.15656100000000001</v>
      </c>
      <c r="G47" s="76">
        <f t="shared" si="5"/>
        <v>0.44636099999999995</v>
      </c>
      <c r="H47" s="76">
        <f t="shared" si="6"/>
        <v>1.8263609999999999</v>
      </c>
      <c r="I47" s="166">
        <v>-17</v>
      </c>
      <c r="J47" s="166">
        <v>94.5</v>
      </c>
      <c r="K47" s="166">
        <v>41.5</v>
      </c>
      <c r="L47" s="83">
        <v>246</v>
      </c>
      <c r="M47" s="83">
        <v>305.60000000000002</v>
      </c>
      <c r="N47" s="83">
        <v>96.27</v>
      </c>
      <c r="O47" s="83">
        <f t="shared" si="7"/>
        <v>96.27</v>
      </c>
      <c r="P47" s="90">
        <f t="shared" si="1"/>
        <v>17.100000000000001</v>
      </c>
      <c r="Q47" s="90">
        <f t="shared" si="2"/>
        <v>0.28691275167785224</v>
      </c>
      <c r="R47" s="90">
        <f t="shared" si="3"/>
        <v>42.959446308724822</v>
      </c>
    </row>
    <row r="48" spans="1:18" ht="15.75" x14ac:dyDescent="0.2">
      <c r="A48" s="167"/>
      <c r="B48" s="168"/>
      <c r="C48" s="83">
        <v>24.69</v>
      </c>
      <c r="D48" s="83">
        <v>44.69</v>
      </c>
      <c r="E48" s="83">
        <v>264.69</v>
      </c>
      <c r="F48" s="76">
        <f t="shared" si="4"/>
        <v>0.17036100000000001</v>
      </c>
      <c r="G48" s="76">
        <f t="shared" si="5"/>
        <v>0.308361</v>
      </c>
      <c r="H48" s="76">
        <f t="shared" si="6"/>
        <v>1.8263609999999999</v>
      </c>
      <c r="I48" s="166"/>
      <c r="J48" s="166"/>
      <c r="K48" s="166"/>
      <c r="L48" s="83">
        <v>245.8</v>
      </c>
      <c r="M48" s="83">
        <v>305.60000000000002</v>
      </c>
      <c r="N48" s="83">
        <v>96.27</v>
      </c>
      <c r="O48" s="83">
        <f t="shared" si="7"/>
        <v>96.27</v>
      </c>
      <c r="P48" s="90">
        <f t="shared" si="1"/>
        <v>17.100000000000001</v>
      </c>
      <c r="Q48" s="90">
        <f t="shared" si="2"/>
        <v>0.28595317725752506</v>
      </c>
      <c r="R48" s="90">
        <f t="shared" si="3"/>
        <v>42.758578595317729</v>
      </c>
    </row>
    <row r="49" spans="1:18" ht="15.75" x14ac:dyDescent="0.2">
      <c r="A49" s="104">
        <v>43558</v>
      </c>
      <c r="B49" s="98">
        <v>0.29166666666666669</v>
      </c>
      <c r="C49" s="83">
        <v>22.69</v>
      </c>
      <c r="D49" s="83">
        <v>64.69</v>
      </c>
      <c r="E49" s="83">
        <v>264.69</v>
      </c>
      <c r="F49" s="76">
        <f t="shared" si="4"/>
        <v>0.15656100000000001</v>
      </c>
      <c r="G49" s="76">
        <f t="shared" si="5"/>
        <v>0.44636099999999995</v>
      </c>
      <c r="H49" s="76">
        <f t="shared" si="6"/>
        <v>1.8263609999999999</v>
      </c>
      <c r="I49" s="97">
        <v>-14</v>
      </c>
      <c r="J49" s="97">
        <v>94</v>
      </c>
      <c r="K49" s="97">
        <v>40</v>
      </c>
      <c r="L49" s="83">
        <v>247.9</v>
      </c>
      <c r="M49" s="83">
        <v>305.2</v>
      </c>
      <c r="N49" s="83">
        <v>94.27</v>
      </c>
      <c r="O49" s="83">
        <f t="shared" si="7"/>
        <v>94.27</v>
      </c>
      <c r="P49" s="90">
        <f t="shared" si="1"/>
        <v>17.100000000000001</v>
      </c>
      <c r="Q49" s="90">
        <f t="shared" si="2"/>
        <v>0.29842931937172784</v>
      </c>
      <c r="R49" s="90">
        <f t="shared" si="3"/>
        <v>45.847696335078545</v>
      </c>
    </row>
    <row r="50" spans="1:18" ht="15.75" x14ac:dyDescent="0.2">
      <c r="A50" s="103">
        <v>43561</v>
      </c>
      <c r="B50" s="95">
        <v>0.70138888888888884</v>
      </c>
      <c r="C50" s="83">
        <v>24.69</v>
      </c>
      <c r="D50" s="83">
        <v>44.69</v>
      </c>
      <c r="E50" s="83">
        <v>244.69</v>
      </c>
      <c r="F50" s="76">
        <f t="shared" si="4"/>
        <v>0.17036100000000001</v>
      </c>
      <c r="G50" s="76">
        <f t="shared" si="5"/>
        <v>0.308361</v>
      </c>
      <c r="H50" s="76">
        <f t="shared" si="6"/>
        <v>1.688361</v>
      </c>
      <c r="I50" s="96">
        <v>-17</v>
      </c>
      <c r="J50" s="97">
        <v>86</v>
      </c>
      <c r="K50" s="96">
        <v>39</v>
      </c>
      <c r="L50" s="83">
        <v>245.8</v>
      </c>
      <c r="M50" s="83">
        <v>299.89999999999998</v>
      </c>
      <c r="N50" s="83">
        <v>92.63</v>
      </c>
      <c r="O50" s="83">
        <f t="shared" si="7"/>
        <v>92.63</v>
      </c>
      <c r="P50" s="90">
        <f t="shared" si="1"/>
        <v>17.100000000000001</v>
      </c>
      <c r="Q50" s="90">
        <f t="shared" si="2"/>
        <v>0.31608133086876178</v>
      </c>
      <c r="R50" s="90">
        <f t="shared" si="3"/>
        <v>48.41417744916825</v>
      </c>
    </row>
    <row r="51" spans="1:18" ht="15.75" x14ac:dyDescent="0.2">
      <c r="A51" s="103">
        <v>43562</v>
      </c>
      <c r="B51" s="95">
        <v>0.70833333333333337</v>
      </c>
      <c r="C51" s="83">
        <v>24.69</v>
      </c>
      <c r="D51" s="83">
        <v>44.69</v>
      </c>
      <c r="E51" s="83">
        <v>244.69</v>
      </c>
      <c r="F51" s="76">
        <f t="shared" si="4"/>
        <v>0.17036100000000001</v>
      </c>
      <c r="G51" s="76">
        <f t="shared" si="5"/>
        <v>0.308361</v>
      </c>
      <c r="H51" s="76">
        <f t="shared" si="6"/>
        <v>1.688361</v>
      </c>
      <c r="I51" s="96">
        <v>-19</v>
      </c>
      <c r="J51" s="97">
        <v>88</v>
      </c>
      <c r="K51" s="96">
        <v>38</v>
      </c>
      <c r="L51" s="83">
        <v>244.5</v>
      </c>
      <c r="M51" s="83">
        <v>301.60000000000002</v>
      </c>
      <c r="N51" s="83">
        <v>91.63</v>
      </c>
      <c r="O51" s="83">
        <f t="shared" si="7"/>
        <v>91.63</v>
      </c>
      <c r="P51" s="90">
        <f t="shared" si="1"/>
        <v>17.100000000000001</v>
      </c>
      <c r="Q51" s="90">
        <f t="shared" si="2"/>
        <v>0.29947460595446573</v>
      </c>
      <c r="R51" s="90">
        <f t="shared" si="3"/>
        <v>45.780683012259175</v>
      </c>
    </row>
    <row r="52" spans="1:18" ht="15.75" x14ac:dyDescent="0.2">
      <c r="A52" s="103">
        <v>43563</v>
      </c>
      <c r="B52" s="95">
        <v>0.69444444444444453</v>
      </c>
      <c r="C52" s="83">
        <v>24.69</v>
      </c>
      <c r="D52" s="83">
        <v>64.69</v>
      </c>
      <c r="E52" s="83">
        <v>264.69</v>
      </c>
      <c r="F52" s="76">
        <f t="shared" si="4"/>
        <v>0.17036100000000001</v>
      </c>
      <c r="G52" s="76">
        <f t="shared" si="5"/>
        <v>0.44636099999999995</v>
      </c>
      <c r="H52" s="76">
        <f t="shared" si="6"/>
        <v>1.8263609999999999</v>
      </c>
      <c r="I52" s="96">
        <v>-14</v>
      </c>
      <c r="J52" s="97">
        <v>83.5</v>
      </c>
      <c r="K52" s="96">
        <v>40</v>
      </c>
      <c r="L52" s="83">
        <v>247.7</v>
      </c>
      <c r="M52" s="83">
        <v>296</v>
      </c>
      <c r="N52" s="83">
        <v>94.24</v>
      </c>
      <c r="O52" s="83">
        <f t="shared" si="7"/>
        <v>94.24</v>
      </c>
      <c r="P52" s="90">
        <f t="shared" si="1"/>
        <v>17.100000000000001</v>
      </c>
      <c r="Q52" s="90">
        <f t="shared" si="2"/>
        <v>0.35403726708074529</v>
      </c>
      <c r="R52" s="90">
        <f t="shared" si="3"/>
        <v>54.330559006211168</v>
      </c>
    </row>
    <row r="53" spans="1:18" ht="15.75" x14ac:dyDescent="0.2">
      <c r="A53" s="103">
        <v>43565</v>
      </c>
      <c r="B53" s="95">
        <v>0.20833333333333334</v>
      </c>
      <c r="C53" s="83">
        <v>22.69</v>
      </c>
      <c r="D53" s="83">
        <v>44.69</v>
      </c>
      <c r="E53" s="83">
        <v>244.69</v>
      </c>
      <c r="F53" s="76">
        <f t="shared" si="4"/>
        <v>0.15656100000000001</v>
      </c>
      <c r="G53" s="76">
        <f t="shared" si="5"/>
        <v>0.308361</v>
      </c>
      <c r="H53" s="76">
        <f t="shared" si="6"/>
        <v>1.688361</v>
      </c>
      <c r="I53" s="96">
        <v>-18</v>
      </c>
      <c r="J53" s="97">
        <v>89.5</v>
      </c>
      <c r="K53" s="96">
        <v>39.5</v>
      </c>
      <c r="L53" s="83">
        <v>245.3</v>
      </c>
      <c r="M53" s="83">
        <v>302.89999999999998</v>
      </c>
      <c r="N53" s="83">
        <v>93.61</v>
      </c>
      <c r="O53" s="83">
        <f t="shared" si="7"/>
        <v>93.61</v>
      </c>
      <c r="P53" s="90">
        <f t="shared" si="1"/>
        <v>17.100000000000001</v>
      </c>
      <c r="Q53" s="90">
        <f t="shared" ref="Q53:Q62" si="9">P53/(M53-L53)</f>
        <v>0.29687500000000022</v>
      </c>
      <c r="R53" s="90">
        <f t="shared" ref="R53:R62" si="10">Q53*(L53-O53)</f>
        <v>45.03296875000003</v>
      </c>
    </row>
    <row r="54" spans="1:18" ht="15.75" x14ac:dyDescent="0.2">
      <c r="A54" s="167">
        <v>43566</v>
      </c>
      <c r="B54" s="168">
        <v>0.22916666666666666</v>
      </c>
      <c r="C54" s="83">
        <v>22.69</v>
      </c>
      <c r="D54" s="83">
        <v>64.69</v>
      </c>
      <c r="E54" s="83">
        <v>264.69</v>
      </c>
      <c r="F54" s="76">
        <f t="shared" ref="F54:F62" si="11">C54*0.0069</f>
        <v>0.15656100000000001</v>
      </c>
      <c r="G54" s="76">
        <f t="shared" ref="G54:G62" si="12">D54*0.0069</f>
        <v>0.44636099999999995</v>
      </c>
      <c r="H54" s="76">
        <f t="shared" ref="H54:H62" si="13">E54*0.0069</f>
        <v>1.8263609999999999</v>
      </c>
      <c r="I54" s="166">
        <v>-14</v>
      </c>
      <c r="J54" s="166">
        <v>85.5</v>
      </c>
      <c r="K54" s="166">
        <v>39</v>
      </c>
      <c r="L54" s="83">
        <v>247.9</v>
      </c>
      <c r="M54" s="83">
        <v>297.8</v>
      </c>
      <c r="N54" s="83">
        <v>92.95</v>
      </c>
      <c r="O54" s="83">
        <f t="shared" ref="O54:O62" si="14">N54</f>
        <v>92.95</v>
      </c>
      <c r="P54" s="90">
        <f t="shared" si="1"/>
        <v>17.100000000000001</v>
      </c>
      <c r="Q54" s="90">
        <f t="shared" si="9"/>
        <v>0.34268537074148298</v>
      </c>
      <c r="R54" s="90">
        <f t="shared" si="10"/>
        <v>53.099098196392781</v>
      </c>
    </row>
    <row r="55" spans="1:18" ht="15.75" x14ac:dyDescent="0.2">
      <c r="A55" s="167"/>
      <c r="B55" s="168"/>
      <c r="C55" s="83">
        <v>22.69</v>
      </c>
      <c r="D55" s="83">
        <v>44.69</v>
      </c>
      <c r="E55" s="83">
        <v>244.69</v>
      </c>
      <c r="F55" s="76">
        <f t="shared" si="11"/>
        <v>0.15656100000000001</v>
      </c>
      <c r="G55" s="76">
        <f t="shared" si="12"/>
        <v>0.308361</v>
      </c>
      <c r="H55" s="76">
        <f t="shared" si="13"/>
        <v>1.688361</v>
      </c>
      <c r="I55" s="166"/>
      <c r="J55" s="166"/>
      <c r="K55" s="166"/>
      <c r="L55" s="83">
        <v>247.9</v>
      </c>
      <c r="M55" s="83">
        <v>299.39999999999998</v>
      </c>
      <c r="N55" s="83">
        <v>92.95</v>
      </c>
      <c r="O55" s="83">
        <f t="shared" si="14"/>
        <v>92.95</v>
      </c>
      <c r="P55" s="90">
        <f t="shared" si="1"/>
        <v>17.100000000000001</v>
      </c>
      <c r="Q55" s="90">
        <f t="shared" si="9"/>
        <v>0.33203883495145653</v>
      </c>
      <c r="R55" s="90">
        <f t="shared" si="10"/>
        <v>51.449417475728183</v>
      </c>
    </row>
    <row r="56" spans="1:18" ht="15.75" x14ac:dyDescent="0.2">
      <c r="A56" s="103">
        <v>43567</v>
      </c>
      <c r="B56" s="98">
        <v>0.1875</v>
      </c>
      <c r="C56" s="83">
        <v>22.69</v>
      </c>
      <c r="D56" s="83">
        <v>64.69</v>
      </c>
      <c r="E56" s="83">
        <v>264.69</v>
      </c>
      <c r="F56" s="76">
        <f t="shared" si="11"/>
        <v>0.15656100000000001</v>
      </c>
      <c r="G56" s="76">
        <f t="shared" si="12"/>
        <v>0.44636099999999995</v>
      </c>
      <c r="H56" s="76">
        <f t="shared" si="13"/>
        <v>1.8263609999999999</v>
      </c>
      <c r="I56" s="97">
        <v>-20</v>
      </c>
      <c r="J56" s="97">
        <v>87</v>
      </c>
      <c r="K56" s="97">
        <v>38</v>
      </c>
      <c r="L56" s="83">
        <v>244.1</v>
      </c>
      <c r="M56" s="83">
        <v>299.10000000000002</v>
      </c>
      <c r="N56" s="83">
        <v>91.63</v>
      </c>
      <c r="O56" s="83">
        <f t="shared" si="14"/>
        <v>91.63</v>
      </c>
      <c r="P56" s="90">
        <f t="shared" si="1"/>
        <v>17.100000000000001</v>
      </c>
      <c r="Q56" s="90">
        <f t="shared" si="9"/>
        <v>0.3109090909090908</v>
      </c>
      <c r="R56" s="90">
        <f t="shared" si="10"/>
        <v>47.404309090909074</v>
      </c>
    </row>
    <row r="57" spans="1:18" ht="15.75" x14ac:dyDescent="0.2">
      <c r="A57" s="167">
        <v>43568</v>
      </c>
      <c r="B57" s="168">
        <v>0.1875</v>
      </c>
      <c r="C57" s="83">
        <v>19.690000000000001</v>
      </c>
      <c r="D57" s="83">
        <v>64.69</v>
      </c>
      <c r="E57" s="83">
        <v>264.69</v>
      </c>
      <c r="F57" s="76">
        <f t="shared" si="11"/>
        <v>0.13586100000000001</v>
      </c>
      <c r="G57" s="76">
        <f t="shared" si="12"/>
        <v>0.44636099999999995</v>
      </c>
      <c r="H57" s="76">
        <f t="shared" si="13"/>
        <v>1.8263609999999999</v>
      </c>
      <c r="I57" s="166">
        <v>-18.5</v>
      </c>
      <c r="J57" s="166">
        <v>90.5</v>
      </c>
      <c r="K57" s="166">
        <v>41</v>
      </c>
      <c r="L57" s="83">
        <v>245.5</v>
      </c>
      <c r="M57" s="83">
        <v>302.10000000000002</v>
      </c>
      <c r="N57" s="83">
        <v>95.6</v>
      </c>
      <c r="O57" s="83">
        <f t="shared" si="14"/>
        <v>95.6</v>
      </c>
      <c r="P57" s="90">
        <f t="shared" si="1"/>
        <v>17.100000000000001</v>
      </c>
      <c r="Q57" s="90">
        <f t="shared" si="9"/>
        <v>0.30212014134275611</v>
      </c>
      <c r="R57" s="90">
        <f t="shared" si="10"/>
        <v>45.287809187279144</v>
      </c>
    </row>
    <row r="58" spans="1:18" ht="15.75" x14ac:dyDescent="0.2">
      <c r="A58" s="167"/>
      <c r="B58" s="168"/>
      <c r="C58" s="83">
        <v>22.69</v>
      </c>
      <c r="D58" s="83">
        <v>44.69</v>
      </c>
      <c r="E58" s="83">
        <v>244.69</v>
      </c>
      <c r="F58" s="76">
        <f t="shared" si="11"/>
        <v>0.15656100000000001</v>
      </c>
      <c r="G58" s="76">
        <f t="shared" si="12"/>
        <v>0.308361</v>
      </c>
      <c r="H58" s="76">
        <f t="shared" si="13"/>
        <v>1.688361</v>
      </c>
      <c r="I58" s="166"/>
      <c r="J58" s="166"/>
      <c r="K58" s="166"/>
      <c r="L58" s="83">
        <v>245</v>
      </c>
      <c r="M58" s="83">
        <v>303.7</v>
      </c>
      <c r="N58" s="83">
        <v>95.6</v>
      </c>
      <c r="O58" s="83">
        <f t="shared" si="14"/>
        <v>95.6</v>
      </c>
      <c r="P58" s="90">
        <f t="shared" si="1"/>
        <v>17.100000000000001</v>
      </c>
      <c r="Q58" s="90">
        <f t="shared" si="9"/>
        <v>0.29131175468483822</v>
      </c>
      <c r="R58" s="90">
        <f t="shared" si="10"/>
        <v>43.521976149914835</v>
      </c>
    </row>
    <row r="59" spans="1:18" ht="15.75" x14ac:dyDescent="0.2">
      <c r="A59" s="103">
        <v>43569</v>
      </c>
      <c r="B59" s="98">
        <v>0.22916666666666699</v>
      </c>
      <c r="C59" s="83">
        <v>19.690000000000001</v>
      </c>
      <c r="D59" s="83">
        <v>64.69</v>
      </c>
      <c r="E59" s="83">
        <v>264.69</v>
      </c>
      <c r="F59" s="76">
        <f t="shared" si="11"/>
        <v>0.13586100000000001</v>
      </c>
      <c r="G59" s="76">
        <f t="shared" si="12"/>
        <v>0.44636099999999995</v>
      </c>
      <c r="H59" s="76">
        <f t="shared" si="13"/>
        <v>1.8263609999999999</v>
      </c>
      <c r="I59" s="97">
        <v>-14</v>
      </c>
      <c r="J59" s="97">
        <v>90</v>
      </c>
      <c r="K59" s="97">
        <v>39.5</v>
      </c>
      <c r="L59" s="83">
        <v>248.3</v>
      </c>
      <c r="M59" s="83">
        <v>301.7</v>
      </c>
      <c r="N59" s="83">
        <v>93.61</v>
      </c>
      <c r="O59" s="83">
        <f t="shared" si="14"/>
        <v>93.61</v>
      </c>
      <c r="P59" s="90">
        <f t="shared" si="1"/>
        <v>17.100000000000001</v>
      </c>
      <c r="Q59" s="90">
        <f t="shared" si="9"/>
        <v>0.32022471910112377</v>
      </c>
      <c r="R59" s="90">
        <f t="shared" si="10"/>
        <v>49.535561797752834</v>
      </c>
    </row>
    <row r="60" spans="1:18" ht="15.75" x14ac:dyDescent="0.2">
      <c r="A60" s="103">
        <v>43570</v>
      </c>
      <c r="B60" s="95">
        <v>0.67361111111111116</v>
      </c>
      <c r="C60" s="83">
        <v>24.69</v>
      </c>
      <c r="D60" s="83">
        <v>44.69</v>
      </c>
      <c r="E60" s="83">
        <v>234.69</v>
      </c>
      <c r="F60" s="76">
        <f t="shared" si="11"/>
        <v>0.17036100000000001</v>
      </c>
      <c r="G60" s="76">
        <f t="shared" si="12"/>
        <v>0.308361</v>
      </c>
      <c r="H60" s="76">
        <f t="shared" si="13"/>
        <v>1.6193610000000001</v>
      </c>
      <c r="I60" s="96">
        <v>-8</v>
      </c>
      <c r="J60" s="97">
        <v>80</v>
      </c>
      <c r="K60" s="96">
        <v>40</v>
      </c>
      <c r="L60" s="83">
        <v>251.5</v>
      </c>
      <c r="M60" s="83">
        <v>295.60000000000002</v>
      </c>
      <c r="N60" s="83">
        <v>94.27</v>
      </c>
      <c r="O60" s="83">
        <f t="shared" si="14"/>
        <v>94.27</v>
      </c>
      <c r="P60" s="90">
        <f t="shared" si="1"/>
        <v>17.100000000000001</v>
      </c>
      <c r="Q60" s="90">
        <f t="shared" si="9"/>
        <v>0.38775510204081615</v>
      </c>
      <c r="R60" s="90">
        <f t="shared" si="10"/>
        <v>60.966734693877527</v>
      </c>
    </row>
    <row r="61" spans="1:18" ht="15.75" x14ac:dyDescent="0.2">
      <c r="A61" s="103">
        <v>43571</v>
      </c>
      <c r="B61" s="98">
        <v>0.20138888888888887</v>
      </c>
      <c r="C61" s="83">
        <v>19.690000000000001</v>
      </c>
      <c r="D61" s="83">
        <v>64.69</v>
      </c>
      <c r="E61" s="83">
        <v>244.69</v>
      </c>
      <c r="F61" s="76">
        <f t="shared" si="11"/>
        <v>0.13586100000000001</v>
      </c>
      <c r="G61" s="76">
        <f t="shared" si="12"/>
        <v>0.44636099999999995</v>
      </c>
      <c r="H61" s="76">
        <f t="shared" si="13"/>
        <v>1.688361</v>
      </c>
      <c r="I61" s="97">
        <v>-19</v>
      </c>
      <c r="J61" s="97">
        <v>86</v>
      </c>
      <c r="K61" s="97">
        <v>39.5</v>
      </c>
      <c r="L61" s="83">
        <v>245.2</v>
      </c>
      <c r="M61" s="83">
        <v>299.89999999999998</v>
      </c>
      <c r="N61" s="83">
        <v>93.61</v>
      </c>
      <c r="O61" s="83">
        <f t="shared" si="14"/>
        <v>93.61</v>
      </c>
      <c r="P61" s="90">
        <f t="shared" si="1"/>
        <v>17.100000000000001</v>
      </c>
      <c r="Q61" s="90">
        <f t="shared" si="9"/>
        <v>0.31261425959780631</v>
      </c>
      <c r="R61" s="90">
        <f t="shared" si="10"/>
        <v>47.38919561243145</v>
      </c>
    </row>
    <row r="62" spans="1:18" ht="15.75" x14ac:dyDescent="0.2">
      <c r="A62" s="103">
        <v>43572</v>
      </c>
      <c r="B62" s="95">
        <v>0.6694444444444444</v>
      </c>
      <c r="C62" s="83">
        <v>24.69</v>
      </c>
      <c r="D62" s="83">
        <v>64.69</v>
      </c>
      <c r="E62" s="83">
        <v>229.69</v>
      </c>
      <c r="F62" s="76">
        <f t="shared" si="11"/>
        <v>0.17036100000000001</v>
      </c>
      <c r="G62" s="76">
        <f t="shared" si="12"/>
        <v>0.44636099999999995</v>
      </c>
      <c r="H62" s="76">
        <f t="shared" si="13"/>
        <v>1.5848609999999999</v>
      </c>
      <c r="I62" s="96">
        <v>-27</v>
      </c>
      <c r="J62" s="97">
        <v>76</v>
      </c>
      <c r="K62" s="96">
        <v>36</v>
      </c>
      <c r="L62" s="83">
        <v>239.4</v>
      </c>
      <c r="M62" s="83">
        <v>292.60000000000002</v>
      </c>
      <c r="N62" s="83">
        <v>89</v>
      </c>
      <c r="O62" s="83">
        <f t="shared" si="14"/>
        <v>89</v>
      </c>
      <c r="P62" s="90">
        <f t="shared" si="1"/>
        <v>17.100000000000001</v>
      </c>
      <c r="Q62" s="90">
        <f t="shared" si="9"/>
        <v>0.32142857142857134</v>
      </c>
      <c r="R62" s="90">
        <f t="shared" si="10"/>
        <v>48.342857142857135</v>
      </c>
    </row>
    <row r="63" spans="1:18" ht="15.75" x14ac:dyDescent="0.2">
      <c r="A63" s="6"/>
      <c r="F63" s="16"/>
      <c r="G63" s="14"/>
      <c r="H63" s="16"/>
    </row>
    <row r="64" spans="1:18" ht="15.75" x14ac:dyDescent="0.2">
      <c r="A64" s="6"/>
      <c r="F64" s="16"/>
      <c r="G64" s="14"/>
      <c r="H64" s="16"/>
    </row>
    <row r="65" spans="1:8" ht="15.75" x14ac:dyDescent="0.2">
      <c r="A65" s="6"/>
      <c r="F65" s="16"/>
      <c r="G65" s="14"/>
      <c r="H65" s="16"/>
    </row>
    <row r="66" spans="1:8" ht="15.75" x14ac:dyDescent="0.2">
      <c r="A66" s="6"/>
      <c r="F66" s="16"/>
      <c r="G66" s="14"/>
      <c r="H66" s="16"/>
    </row>
    <row r="67" spans="1:8" ht="15.75" x14ac:dyDescent="0.2">
      <c r="A67" s="6"/>
      <c r="F67" s="16"/>
      <c r="G67" s="14"/>
      <c r="H67" s="16"/>
    </row>
    <row r="68" spans="1:8" ht="15.75" x14ac:dyDescent="0.2">
      <c r="A68" s="6"/>
      <c r="F68" s="16"/>
      <c r="G68" s="14"/>
      <c r="H68" s="16"/>
    </row>
    <row r="69" spans="1:8" ht="15.75" x14ac:dyDescent="0.2">
      <c r="A69" s="6"/>
      <c r="F69" s="16"/>
      <c r="G69" s="14"/>
      <c r="H69" s="16"/>
    </row>
    <row r="70" spans="1:8" ht="15.75" x14ac:dyDescent="0.2">
      <c r="A70" s="6"/>
      <c r="F70" s="16"/>
      <c r="G70" s="14"/>
      <c r="H70" s="16"/>
    </row>
    <row r="71" spans="1:8" ht="15.75" x14ac:dyDescent="0.2">
      <c r="A71" s="6"/>
      <c r="F71" s="16"/>
      <c r="G71" s="14"/>
      <c r="H71" s="16"/>
    </row>
    <row r="72" spans="1:8" ht="15.75" x14ac:dyDescent="0.2">
      <c r="A72" s="6"/>
      <c r="F72" s="16"/>
      <c r="G72" s="14"/>
      <c r="H72" s="16"/>
    </row>
    <row r="73" spans="1:8" ht="15.75" x14ac:dyDescent="0.2">
      <c r="A73" s="6"/>
      <c r="F73" s="16"/>
      <c r="G73" s="14"/>
      <c r="H73" s="16"/>
    </row>
    <row r="74" spans="1:8" ht="15.75" x14ac:dyDescent="0.2">
      <c r="A74" s="6"/>
      <c r="F74" s="16"/>
      <c r="G74" s="14"/>
      <c r="H74" s="16"/>
    </row>
    <row r="75" spans="1:8" ht="15.75" x14ac:dyDescent="0.2">
      <c r="A75" s="6"/>
      <c r="F75" s="16"/>
      <c r="G75" s="14"/>
      <c r="H75" s="16"/>
    </row>
    <row r="76" spans="1:8" ht="15.75" x14ac:dyDescent="0.2">
      <c r="A76" s="6"/>
      <c r="F76" s="16"/>
      <c r="G76" s="14"/>
      <c r="H76" s="16"/>
    </row>
    <row r="77" spans="1:8" ht="15.75" x14ac:dyDescent="0.2">
      <c r="A77" s="6"/>
      <c r="F77" s="16"/>
      <c r="G77" s="14"/>
      <c r="H77" s="16"/>
    </row>
    <row r="78" spans="1:8" ht="15.75" x14ac:dyDescent="0.2">
      <c r="A78" s="6"/>
      <c r="F78" s="16"/>
      <c r="G78" s="14"/>
      <c r="H78" s="16"/>
    </row>
    <row r="79" spans="1:8" ht="15.75" x14ac:dyDescent="0.2">
      <c r="A79" s="6"/>
      <c r="F79" s="16"/>
      <c r="G79" s="14"/>
      <c r="H79" s="16"/>
    </row>
    <row r="80" spans="1:8" ht="15.75" x14ac:dyDescent="0.2">
      <c r="A80" s="6"/>
      <c r="F80" s="16"/>
      <c r="G80" s="14"/>
      <c r="H80" s="16"/>
    </row>
    <row r="81" spans="1:8" ht="15.75" x14ac:dyDescent="0.2">
      <c r="A81" s="6"/>
      <c r="F81" s="16"/>
      <c r="G81" s="14"/>
      <c r="H81" s="16"/>
    </row>
    <row r="82" spans="1:8" ht="15.75" x14ac:dyDescent="0.2">
      <c r="A82" s="6"/>
      <c r="F82" s="16"/>
      <c r="G82" s="14"/>
      <c r="H82" s="16"/>
    </row>
    <row r="83" spans="1:8" ht="15.75" x14ac:dyDescent="0.2">
      <c r="A83" s="6"/>
      <c r="F83" s="16"/>
      <c r="G83" s="14"/>
      <c r="H83" s="16"/>
    </row>
    <row r="84" spans="1:8" ht="15.75" x14ac:dyDescent="0.2">
      <c r="A84" s="6"/>
      <c r="F84" s="16"/>
      <c r="G84" s="14"/>
      <c r="H84" s="16"/>
    </row>
    <row r="85" spans="1:8" ht="15.75" x14ac:dyDescent="0.2">
      <c r="A85" s="6"/>
      <c r="F85" s="16"/>
      <c r="G85" s="14"/>
      <c r="H85" s="16"/>
    </row>
    <row r="86" spans="1:8" ht="15.75" x14ac:dyDescent="0.2">
      <c r="A86" s="6"/>
      <c r="F86" s="16"/>
      <c r="G86" s="14"/>
      <c r="H86" s="16"/>
    </row>
    <row r="87" spans="1:8" ht="15.75" x14ac:dyDescent="0.2">
      <c r="A87" s="6"/>
      <c r="F87" s="16"/>
      <c r="G87" s="14"/>
      <c r="H87" s="16"/>
    </row>
    <row r="88" spans="1:8" ht="15.75" x14ac:dyDescent="0.2">
      <c r="A88" s="6"/>
      <c r="F88" s="16"/>
      <c r="G88" s="14"/>
      <c r="H88" s="16"/>
    </row>
    <row r="89" spans="1:8" ht="15.75" x14ac:dyDescent="0.2">
      <c r="A89" s="6"/>
      <c r="F89" s="16"/>
      <c r="G89" s="14"/>
      <c r="H89" s="16"/>
    </row>
  </sheetData>
  <mergeCells count="79">
    <mergeCell ref="I29:I30"/>
    <mergeCell ref="J29:J30"/>
    <mergeCell ref="K29:K30"/>
    <mergeCell ref="B29:B30"/>
    <mergeCell ref="A1:R1"/>
    <mergeCell ref="I14:I15"/>
    <mergeCell ref="L3:O3"/>
    <mergeCell ref="B3:B5"/>
    <mergeCell ref="B12:B13"/>
    <mergeCell ref="I3:K3"/>
    <mergeCell ref="K12:K13"/>
    <mergeCell ref="K22:K23"/>
    <mergeCell ref="C3:E3"/>
    <mergeCell ref="F3:H3"/>
    <mergeCell ref="I12:I13"/>
    <mergeCell ref="J12:J13"/>
    <mergeCell ref="B47:B48"/>
    <mergeCell ref="A45:A48"/>
    <mergeCell ref="I47:I48"/>
    <mergeCell ref="J47:J48"/>
    <mergeCell ref="K47:K48"/>
    <mergeCell ref="I45:I46"/>
    <mergeCell ref="J45:J46"/>
    <mergeCell ref="K45:K46"/>
    <mergeCell ref="K39:K40"/>
    <mergeCell ref="K37:K38"/>
    <mergeCell ref="I39:I40"/>
    <mergeCell ref="J39:J40"/>
    <mergeCell ref="K33:K34"/>
    <mergeCell ref="K35:K36"/>
    <mergeCell ref="A31:A34"/>
    <mergeCell ref="B31:B32"/>
    <mergeCell ref="J37:J38"/>
    <mergeCell ref="I33:I34"/>
    <mergeCell ref="J33:J34"/>
    <mergeCell ref="B35:B36"/>
    <mergeCell ref="A35:A38"/>
    <mergeCell ref="B37:B38"/>
    <mergeCell ref="I35:I36"/>
    <mergeCell ref="J35:J36"/>
    <mergeCell ref="I37:I38"/>
    <mergeCell ref="A39:A41"/>
    <mergeCell ref="B39:B40"/>
    <mergeCell ref="B45:B46"/>
    <mergeCell ref="K19:K20"/>
    <mergeCell ref="J19:J20"/>
    <mergeCell ref="I19:I20"/>
    <mergeCell ref="I31:I32"/>
    <mergeCell ref="J31:J32"/>
    <mergeCell ref="K31:K32"/>
    <mergeCell ref="B22:B23"/>
    <mergeCell ref="I22:I23"/>
    <mergeCell ref="J22:J23"/>
    <mergeCell ref="A26:A27"/>
    <mergeCell ref="A29:A30"/>
    <mergeCell ref="A22:A24"/>
    <mergeCell ref="B33:B34"/>
    <mergeCell ref="J14:J15"/>
    <mergeCell ref="K14:K15"/>
    <mergeCell ref="I17:I18"/>
    <mergeCell ref="J17:J18"/>
    <mergeCell ref="K17:K18"/>
    <mergeCell ref="A3:A4"/>
    <mergeCell ref="A12:A16"/>
    <mergeCell ref="A17:A21"/>
    <mergeCell ref="B19:B20"/>
    <mergeCell ref="B14:B15"/>
    <mergeCell ref="A10:A11"/>
    <mergeCell ref="B17:B18"/>
    <mergeCell ref="A54:A55"/>
    <mergeCell ref="I54:I55"/>
    <mergeCell ref="J54:J55"/>
    <mergeCell ref="K54:K55"/>
    <mergeCell ref="B54:B55"/>
    <mergeCell ref="K57:K58"/>
    <mergeCell ref="A57:A58"/>
    <mergeCell ref="B57:B58"/>
    <mergeCell ref="I57:I58"/>
    <mergeCell ref="J57:J5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M100"/>
  <sheetViews>
    <sheetView topLeftCell="E4" workbookViewId="0">
      <selection activeCell="F39" sqref="F39:L39"/>
    </sheetView>
  </sheetViews>
  <sheetFormatPr defaultRowHeight="15.75" x14ac:dyDescent="0.25"/>
  <cols>
    <col min="1" max="1" width="13" style="25" customWidth="1"/>
    <col min="2" max="2" width="13.625" style="17" customWidth="1"/>
    <col min="3" max="3" width="9" style="17"/>
    <col min="4" max="5" width="9" style="15"/>
    <col min="6" max="6" width="9.125" style="28" customWidth="1"/>
    <col min="7" max="7" width="9" style="26"/>
    <col min="8" max="8" width="9" style="28"/>
    <col min="9" max="11" width="9" style="17"/>
    <col min="12" max="12" width="11.25" style="17" customWidth="1"/>
    <col min="13" max="13" width="14.75" style="17" customWidth="1"/>
    <col min="14" max="14" width="10.5" style="17" bestFit="1" customWidth="1"/>
    <col min="15" max="15" width="20.125" style="17" customWidth="1"/>
    <col min="16" max="16" width="9" style="17" customWidth="1"/>
    <col min="17" max="16384" width="9" style="17"/>
  </cols>
  <sheetData>
    <row r="1" spans="1:22" s="33" customFormat="1" x14ac:dyDescent="0.25">
      <c r="A1" s="191" t="s">
        <v>110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</row>
    <row r="2" spans="1:22" s="33" customForma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22" x14ac:dyDescent="0.25">
      <c r="A3" s="191" t="s">
        <v>122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</row>
    <row r="4" spans="1:22" x14ac:dyDescent="0.25">
      <c r="A4" s="126" t="s">
        <v>1</v>
      </c>
      <c r="B4" s="154" t="s">
        <v>136</v>
      </c>
      <c r="C4" s="154"/>
      <c r="D4" s="154" t="s">
        <v>137</v>
      </c>
      <c r="E4" s="154"/>
      <c r="F4" s="154" t="s">
        <v>7</v>
      </c>
      <c r="G4" s="154"/>
      <c r="H4" s="154"/>
      <c r="I4" s="188" t="s">
        <v>81</v>
      </c>
      <c r="J4" s="188"/>
      <c r="K4" s="188"/>
      <c r="L4" s="188"/>
      <c r="M4" s="112" t="s">
        <v>39</v>
      </c>
      <c r="N4" s="75" t="s">
        <v>87</v>
      </c>
      <c r="O4" s="75" t="s">
        <v>88</v>
      </c>
      <c r="P4" s="184" t="s">
        <v>132</v>
      </c>
    </row>
    <row r="5" spans="1:22" s="27" customFormat="1" x14ac:dyDescent="0.25">
      <c r="A5" s="127"/>
      <c r="B5" s="77" t="s">
        <v>4</v>
      </c>
      <c r="C5" s="77" t="s">
        <v>6</v>
      </c>
      <c r="D5" s="87" t="s">
        <v>4</v>
      </c>
      <c r="E5" s="87" t="s">
        <v>6</v>
      </c>
      <c r="F5" s="110" t="s">
        <v>106</v>
      </c>
      <c r="G5" s="110" t="s">
        <v>168</v>
      </c>
      <c r="H5" s="110" t="s">
        <v>169</v>
      </c>
      <c r="I5" s="111" t="s">
        <v>0</v>
      </c>
      <c r="J5" s="111" t="s">
        <v>165</v>
      </c>
      <c r="K5" s="111" t="s">
        <v>166</v>
      </c>
      <c r="L5" s="111" t="s">
        <v>170</v>
      </c>
      <c r="M5" s="111" t="s">
        <v>150</v>
      </c>
      <c r="N5" s="111" t="s">
        <v>152</v>
      </c>
      <c r="O5" s="111" t="s">
        <v>129</v>
      </c>
      <c r="P5" s="185"/>
    </row>
    <row r="6" spans="1:22" s="27" customFormat="1" ht="15" customHeight="1" x14ac:dyDescent="0.25">
      <c r="A6" s="75"/>
      <c r="B6" s="112" t="s">
        <v>79</v>
      </c>
      <c r="C6" s="112" t="s">
        <v>79</v>
      </c>
      <c r="D6" s="113" t="s">
        <v>80</v>
      </c>
      <c r="E6" s="113" t="s">
        <v>80</v>
      </c>
      <c r="F6" s="79" t="s">
        <v>125</v>
      </c>
      <c r="G6" s="79" t="s">
        <v>125</v>
      </c>
      <c r="H6" s="79" t="s">
        <v>125</v>
      </c>
      <c r="I6" s="79" t="s">
        <v>84</v>
      </c>
      <c r="J6" s="79" t="s">
        <v>84</v>
      </c>
      <c r="K6" s="79" t="s">
        <v>84</v>
      </c>
      <c r="L6" s="79" t="s">
        <v>84</v>
      </c>
      <c r="M6" s="75" t="s">
        <v>41</v>
      </c>
      <c r="N6" s="75" t="s">
        <v>86</v>
      </c>
      <c r="O6" s="75" t="s">
        <v>41</v>
      </c>
      <c r="P6" s="186"/>
    </row>
    <row r="7" spans="1:22" x14ac:dyDescent="0.25">
      <c r="A7" s="114" t="s">
        <v>90</v>
      </c>
      <c r="B7" s="109">
        <v>25.69</v>
      </c>
      <c r="C7" s="109">
        <v>244.69</v>
      </c>
      <c r="D7" s="76">
        <f t="shared" ref="D7:D14" si="0">B7*0.0069</f>
        <v>0.177261</v>
      </c>
      <c r="E7" s="76">
        <f t="shared" ref="E7:E14" si="1">C7*0.0069</f>
        <v>1.688361</v>
      </c>
      <c r="F7" s="115">
        <v>-2</v>
      </c>
      <c r="G7" s="78">
        <v>91</v>
      </c>
      <c r="H7" s="115">
        <v>36</v>
      </c>
      <c r="I7" s="109">
        <v>255.2</v>
      </c>
      <c r="J7" s="109">
        <v>304.2</v>
      </c>
      <c r="K7" s="109">
        <v>89</v>
      </c>
      <c r="L7" s="109">
        <f t="shared" ref="L7:L14" si="2">K7</f>
        <v>89</v>
      </c>
      <c r="M7" s="116">
        <f>0.9*380*50/1000</f>
        <v>17.100000000000001</v>
      </c>
      <c r="N7" s="116">
        <f t="shared" ref="N7:N14" si="3">M7/(J7-I7)</f>
        <v>0.34897959183673471</v>
      </c>
      <c r="O7" s="116">
        <f t="shared" ref="O7:O14" si="4">N7*(I7-L7)</f>
        <v>58.000408163265305</v>
      </c>
      <c r="P7" s="116">
        <f>O7/M7</f>
        <v>3.3918367346938774</v>
      </c>
    </row>
    <row r="8" spans="1:22" s="4" customFormat="1" x14ac:dyDescent="0.25">
      <c r="A8" s="117" t="s">
        <v>123</v>
      </c>
      <c r="B8" s="118">
        <v>22.69</v>
      </c>
      <c r="C8" s="118">
        <v>234.69</v>
      </c>
      <c r="D8" s="76">
        <f t="shared" si="0"/>
        <v>0.15656100000000001</v>
      </c>
      <c r="E8" s="76">
        <f t="shared" si="1"/>
        <v>1.6193610000000001</v>
      </c>
      <c r="F8" s="94">
        <v>3.5</v>
      </c>
      <c r="G8" s="93">
        <v>85</v>
      </c>
      <c r="H8" s="94">
        <v>34.5</v>
      </c>
      <c r="I8" s="118">
        <v>259.10000000000002</v>
      </c>
      <c r="J8" s="118">
        <v>299.8</v>
      </c>
      <c r="K8" s="118">
        <v>87.05</v>
      </c>
      <c r="L8" s="118">
        <f t="shared" si="2"/>
        <v>87.05</v>
      </c>
      <c r="M8" s="116">
        <f t="shared" ref="M8:M14" si="5">0.9*380*50/1000</f>
        <v>17.100000000000001</v>
      </c>
      <c r="N8" s="119">
        <f t="shared" si="3"/>
        <v>0.42014742014742029</v>
      </c>
      <c r="O8" s="119">
        <f t="shared" si="4"/>
        <v>72.28636363636366</v>
      </c>
      <c r="P8" s="116">
        <f t="shared" ref="P8:P14" si="6">O8/M8</f>
        <v>4.2272727272727284</v>
      </c>
    </row>
    <row r="9" spans="1:22" x14ac:dyDescent="0.25">
      <c r="A9" s="117" t="s">
        <v>92</v>
      </c>
      <c r="B9" s="109">
        <v>26.69</v>
      </c>
      <c r="C9" s="109">
        <v>234.69</v>
      </c>
      <c r="D9" s="76">
        <f t="shared" si="0"/>
        <v>0.18416100000000002</v>
      </c>
      <c r="E9" s="76">
        <f t="shared" si="1"/>
        <v>1.6193610000000001</v>
      </c>
      <c r="F9" s="115">
        <v>-8</v>
      </c>
      <c r="G9" s="78">
        <v>94.5</v>
      </c>
      <c r="H9" s="115">
        <v>38</v>
      </c>
      <c r="I9" s="109">
        <v>251.3</v>
      </c>
      <c r="J9" s="109">
        <v>307.89999999999998</v>
      </c>
      <c r="K9" s="109">
        <v>91.63</v>
      </c>
      <c r="L9" s="109">
        <f t="shared" si="2"/>
        <v>91.63</v>
      </c>
      <c r="M9" s="116">
        <f t="shared" si="5"/>
        <v>17.100000000000001</v>
      </c>
      <c r="N9" s="116">
        <f t="shared" si="3"/>
        <v>0.30212014134275639</v>
      </c>
      <c r="O9" s="116">
        <f t="shared" si="4"/>
        <v>48.239522968197917</v>
      </c>
      <c r="P9" s="116">
        <f t="shared" si="6"/>
        <v>2.8210247349823341</v>
      </c>
    </row>
    <row r="10" spans="1:22" x14ac:dyDescent="0.25">
      <c r="A10" s="117" t="s">
        <v>93</v>
      </c>
      <c r="B10" s="109">
        <v>26.69</v>
      </c>
      <c r="C10" s="109">
        <v>244.69</v>
      </c>
      <c r="D10" s="76">
        <f t="shared" si="0"/>
        <v>0.18416100000000002</v>
      </c>
      <c r="E10" s="76">
        <f t="shared" si="1"/>
        <v>1.688361</v>
      </c>
      <c r="F10" s="115">
        <v>-5</v>
      </c>
      <c r="G10" s="78">
        <v>93</v>
      </c>
      <c r="H10" s="115">
        <v>38</v>
      </c>
      <c r="I10" s="109">
        <v>253.2</v>
      </c>
      <c r="J10" s="109">
        <v>305.89999999999998</v>
      </c>
      <c r="K10" s="109">
        <v>91.63</v>
      </c>
      <c r="L10" s="109">
        <f t="shared" si="2"/>
        <v>91.63</v>
      </c>
      <c r="M10" s="116">
        <f t="shared" si="5"/>
        <v>17.100000000000001</v>
      </c>
      <c r="N10" s="116">
        <f t="shared" si="3"/>
        <v>0.32447817836812154</v>
      </c>
      <c r="O10" s="116">
        <f t="shared" si="4"/>
        <v>52.425939278937392</v>
      </c>
      <c r="P10" s="116">
        <f t="shared" si="6"/>
        <v>3.0658444022770404</v>
      </c>
    </row>
    <row r="11" spans="1:22" x14ac:dyDescent="0.25">
      <c r="A11" s="114" t="s">
        <v>95</v>
      </c>
      <c r="B11" s="109">
        <v>22.69</v>
      </c>
      <c r="C11" s="109">
        <v>244.69</v>
      </c>
      <c r="D11" s="76">
        <f t="shared" si="0"/>
        <v>0.15656100000000001</v>
      </c>
      <c r="E11" s="76">
        <f t="shared" si="1"/>
        <v>1.688361</v>
      </c>
      <c r="F11" s="115">
        <v>-20</v>
      </c>
      <c r="G11" s="78">
        <v>80</v>
      </c>
      <c r="H11" s="115">
        <v>36</v>
      </c>
      <c r="I11" s="109">
        <v>244.1</v>
      </c>
      <c r="J11" s="109">
        <v>294.7</v>
      </c>
      <c r="K11" s="109">
        <v>89</v>
      </c>
      <c r="L11" s="109">
        <f t="shared" si="2"/>
        <v>89</v>
      </c>
      <c r="M11" s="116">
        <f t="shared" si="5"/>
        <v>17.100000000000001</v>
      </c>
      <c r="N11" s="116">
        <f t="shared" si="3"/>
        <v>0.3379446640316206</v>
      </c>
      <c r="O11" s="116">
        <f t="shared" si="4"/>
        <v>52.415217391304353</v>
      </c>
      <c r="P11" s="116">
        <f t="shared" si="6"/>
        <v>3.0652173913043477</v>
      </c>
    </row>
    <row r="12" spans="1:22" s="32" customFormat="1" x14ac:dyDescent="0.25">
      <c r="A12" s="120" t="s">
        <v>144</v>
      </c>
      <c r="B12" s="121">
        <v>24.69</v>
      </c>
      <c r="C12" s="121">
        <v>234.69</v>
      </c>
      <c r="D12" s="122">
        <f t="shared" si="0"/>
        <v>0.17036100000000001</v>
      </c>
      <c r="E12" s="122">
        <f t="shared" si="1"/>
        <v>1.6193610000000001</v>
      </c>
      <c r="F12" s="123">
        <v>-15.5</v>
      </c>
      <c r="G12" s="124">
        <v>80</v>
      </c>
      <c r="H12" s="123">
        <v>37</v>
      </c>
      <c r="I12" s="121">
        <v>246.7</v>
      </c>
      <c r="J12" s="121">
        <v>295.60000000000002</v>
      </c>
      <c r="K12" s="121">
        <v>90.31</v>
      </c>
      <c r="L12" s="121">
        <f t="shared" si="2"/>
        <v>90.31</v>
      </c>
      <c r="M12" s="116">
        <f t="shared" si="5"/>
        <v>17.100000000000001</v>
      </c>
      <c r="N12" s="125">
        <f t="shared" si="3"/>
        <v>0.34969325153374209</v>
      </c>
      <c r="O12" s="125">
        <f t="shared" si="4"/>
        <v>54.68852760736192</v>
      </c>
      <c r="P12" s="116">
        <f t="shared" si="6"/>
        <v>3.1981595092024513</v>
      </c>
    </row>
    <row r="13" spans="1:22" s="34" customFormat="1" x14ac:dyDescent="0.25">
      <c r="A13" s="114" t="s">
        <v>145</v>
      </c>
      <c r="B13" s="109">
        <v>24.69</v>
      </c>
      <c r="C13" s="109">
        <v>264.69</v>
      </c>
      <c r="D13" s="76">
        <f t="shared" si="0"/>
        <v>0.17036100000000001</v>
      </c>
      <c r="E13" s="76">
        <f t="shared" si="1"/>
        <v>1.8263609999999999</v>
      </c>
      <c r="F13" s="115">
        <v>-14</v>
      </c>
      <c r="G13" s="78">
        <v>83.5</v>
      </c>
      <c r="H13" s="115">
        <v>40</v>
      </c>
      <c r="I13" s="109">
        <v>247.7</v>
      </c>
      <c r="J13" s="109">
        <v>296</v>
      </c>
      <c r="K13" s="109">
        <v>94.24</v>
      </c>
      <c r="L13" s="109">
        <f t="shared" si="2"/>
        <v>94.24</v>
      </c>
      <c r="M13" s="116">
        <f t="shared" si="5"/>
        <v>17.100000000000001</v>
      </c>
      <c r="N13" s="116">
        <f t="shared" si="3"/>
        <v>0.35403726708074529</v>
      </c>
      <c r="O13" s="116">
        <f t="shared" si="4"/>
        <v>54.330559006211168</v>
      </c>
      <c r="P13" s="116">
        <f t="shared" si="6"/>
        <v>3.1772256728778459</v>
      </c>
    </row>
    <row r="14" spans="1:22" s="34" customFormat="1" x14ac:dyDescent="0.25">
      <c r="A14" s="114" t="s">
        <v>97</v>
      </c>
      <c r="B14" s="109">
        <v>22.69</v>
      </c>
      <c r="C14" s="109">
        <v>244.69</v>
      </c>
      <c r="D14" s="76">
        <f t="shared" si="0"/>
        <v>0.15656100000000001</v>
      </c>
      <c r="E14" s="76">
        <f t="shared" si="1"/>
        <v>1.688361</v>
      </c>
      <c r="F14" s="115">
        <v>-18</v>
      </c>
      <c r="G14" s="78">
        <v>89.5</v>
      </c>
      <c r="H14" s="115">
        <v>39.5</v>
      </c>
      <c r="I14" s="109">
        <v>245.3</v>
      </c>
      <c r="J14" s="109">
        <v>302.89999999999998</v>
      </c>
      <c r="K14" s="109">
        <v>93.61</v>
      </c>
      <c r="L14" s="109">
        <f t="shared" si="2"/>
        <v>93.61</v>
      </c>
      <c r="M14" s="116">
        <f t="shared" si="5"/>
        <v>17.100000000000001</v>
      </c>
      <c r="N14" s="116">
        <f t="shared" si="3"/>
        <v>0.29687500000000022</v>
      </c>
      <c r="O14" s="116">
        <f t="shared" si="4"/>
        <v>45.03296875000003</v>
      </c>
      <c r="P14" s="116">
        <f t="shared" si="6"/>
        <v>2.6335069444444459</v>
      </c>
      <c r="R14" s="17"/>
      <c r="S14" s="17"/>
      <c r="T14" s="17"/>
      <c r="U14" s="17"/>
      <c r="V14" s="17"/>
    </row>
    <row r="15" spans="1:22" x14ac:dyDescent="0.25">
      <c r="A15" s="21"/>
      <c r="D15" s="16"/>
      <c r="E15" s="16"/>
      <c r="M15" s="15"/>
      <c r="N15" s="15"/>
      <c r="O15" s="15"/>
      <c r="R15" s="34"/>
      <c r="S15" s="34"/>
      <c r="T15" s="34"/>
      <c r="U15" s="34"/>
      <c r="V15" s="34"/>
    </row>
    <row r="16" spans="1:22" x14ac:dyDescent="0.25">
      <c r="A16" s="191" t="s">
        <v>111</v>
      </c>
      <c r="B16" s="191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</row>
    <row r="17" spans="1:22" x14ac:dyDescent="0.25">
      <c r="A17" s="174" t="s">
        <v>1</v>
      </c>
      <c r="B17" s="154" t="s">
        <v>136</v>
      </c>
      <c r="C17" s="154"/>
      <c r="D17" s="154" t="s">
        <v>137</v>
      </c>
      <c r="E17" s="154"/>
      <c r="F17" s="154" t="s">
        <v>7</v>
      </c>
      <c r="G17" s="154"/>
      <c r="H17" s="154"/>
      <c r="I17" s="188" t="s">
        <v>81</v>
      </c>
      <c r="J17" s="188"/>
      <c r="K17" s="188"/>
      <c r="L17" s="188"/>
      <c r="M17" s="112" t="s">
        <v>39</v>
      </c>
      <c r="N17" s="75" t="s">
        <v>87</v>
      </c>
      <c r="O17" s="75" t="s">
        <v>88</v>
      </c>
      <c r="P17" s="177" t="s">
        <v>132</v>
      </c>
      <c r="R17" s="34"/>
      <c r="S17" s="34"/>
      <c r="T17" s="34"/>
      <c r="U17" s="34"/>
      <c r="V17" s="34"/>
    </row>
    <row r="18" spans="1:22" s="39" customFormat="1" x14ac:dyDescent="0.25">
      <c r="A18" s="175"/>
      <c r="B18" s="77" t="s">
        <v>4</v>
      </c>
      <c r="C18" s="77" t="s">
        <v>6</v>
      </c>
      <c r="D18" s="87" t="s">
        <v>4</v>
      </c>
      <c r="E18" s="87" t="s">
        <v>6</v>
      </c>
      <c r="F18" s="110" t="s">
        <v>106</v>
      </c>
      <c r="G18" s="110" t="s">
        <v>168</v>
      </c>
      <c r="H18" s="110" t="s">
        <v>169</v>
      </c>
      <c r="I18" s="111" t="s">
        <v>0</v>
      </c>
      <c r="J18" s="111" t="s">
        <v>165</v>
      </c>
      <c r="K18" s="111" t="s">
        <v>166</v>
      </c>
      <c r="L18" s="111" t="s">
        <v>170</v>
      </c>
      <c r="M18" s="111" t="s">
        <v>150</v>
      </c>
      <c r="N18" s="111" t="s">
        <v>152</v>
      </c>
      <c r="O18" s="111" t="s">
        <v>153</v>
      </c>
      <c r="P18" s="178"/>
      <c r="Q18" s="27"/>
      <c r="R18" s="27"/>
      <c r="S18" s="27"/>
      <c r="T18" s="27"/>
      <c r="U18" s="27"/>
      <c r="V18" s="27"/>
    </row>
    <row r="19" spans="1:22" s="27" customFormat="1" ht="15" customHeight="1" x14ac:dyDescent="0.25">
      <c r="A19" s="176"/>
      <c r="B19" s="112" t="s">
        <v>79</v>
      </c>
      <c r="C19" s="112" t="s">
        <v>79</v>
      </c>
      <c r="D19" s="113" t="s">
        <v>80</v>
      </c>
      <c r="E19" s="113" t="s">
        <v>80</v>
      </c>
      <c r="F19" s="79" t="s">
        <v>125</v>
      </c>
      <c r="G19" s="79" t="s">
        <v>125</v>
      </c>
      <c r="H19" s="79" t="s">
        <v>125</v>
      </c>
      <c r="I19" s="79" t="s">
        <v>84</v>
      </c>
      <c r="J19" s="79" t="s">
        <v>84</v>
      </c>
      <c r="K19" s="79" t="s">
        <v>84</v>
      </c>
      <c r="L19" s="79" t="s">
        <v>84</v>
      </c>
      <c r="M19" s="75" t="s">
        <v>41</v>
      </c>
      <c r="N19" s="75" t="s">
        <v>86</v>
      </c>
      <c r="O19" s="75" t="s">
        <v>41</v>
      </c>
      <c r="P19" s="179"/>
    </row>
    <row r="20" spans="1:22" s="32" customFormat="1" x14ac:dyDescent="0.25">
      <c r="A20" s="120" t="s">
        <v>113</v>
      </c>
      <c r="B20" s="124">
        <v>24.69</v>
      </c>
      <c r="C20" s="124">
        <v>244.69</v>
      </c>
      <c r="D20" s="122">
        <f t="shared" ref="D20:D25" si="7">B20*0.0069</f>
        <v>0.17036100000000001</v>
      </c>
      <c r="E20" s="122">
        <f t="shared" ref="E20:E25" si="8">C20*0.0069</f>
        <v>1.688361</v>
      </c>
      <c r="F20" s="124">
        <v>-23</v>
      </c>
      <c r="G20" s="124">
        <v>73</v>
      </c>
      <c r="H20" s="123">
        <v>34.5</v>
      </c>
      <c r="I20" s="121">
        <v>242</v>
      </c>
      <c r="J20" s="121">
        <v>288.60000000000002</v>
      </c>
      <c r="K20" s="121">
        <v>87.05</v>
      </c>
      <c r="L20" s="121">
        <f t="shared" ref="L20:L33" si="9">K20</f>
        <v>87.05</v>
      </c>
      <c r="M20" s="125">
        <f>0.85*380*50/1000</f>
        <v>16.149999999999999</v>
      </c>
      <c r="N20" s="125">
        <f t="shared" ref="N20:N33" si="10">M20/(J20-I20)</f>
        <v>0.34656652360515</v>
      </c>
      <c r="O20" s="125">
        <f t="shared" ref="O20:O33" si="11">N20*(I20-L20)</f>
        <v>53.700482832617986</v>
      </c>
      <c r="P20" s="125">
        <f>O20/M20</f>
        <v>3.3251072961373369</v>
      </c>
    </row>
    <row r="21" spans="1:22" s="32" customFormat="1" x14ac:dyDescent="0.25">
      <c r="A21" s="120" t="s">
        <v>114</v>
      </c>
      <c r="B21" s="124">
        <v>26.69</v>
      </c>
      <c r="C21" s="124">
        <v>264.69</v>
      </c>
      <c r="D21" s="122">
        <f t="shared" si="7"/>
        <v>0.18416100000000002</v>
      </c>
      <c r="E21" s="122">
        <f t="shared" si="8"/>
        <v>1.8263609999999999</v>
      </c>
      <c r="F21" s="124">
        <v>-18</v>
      </c>
      <c r="G21" s="124">
        <v>89</v>
      </c>
      <c r="H21" s="123">
        <v>39.5</v>
      </c>
      <c r="I21" s="121">
        <v>244.9</v>
      </c>
      <c r="J21" s="121">
        <v>300.8</v>
      </c>
      <c r="K21" s="121">
        <v>93.61</v>
      </c>
      <c r="L21" s="121">
        <f t="shared" si="9"/>
        <v>93.61</v>
      </c>
      <c r="M21" s="125">
        <f t="shared" ref="M21:M33" si="12">0.85*380*50/1000</f>
        <v>16.149999999999999</v>
      </c>
      <c r="N21" s="125">
        <f t="shared" si="10"/>
        <v>0.28890876565295165</v>
      </c>
      <c r="O21" s="125">
        <f t="shared" si="11"/>
        <v>43.709007155635064</v>
      </c>
      <c r="P21" s="125">
        <f t="shared" ref="P21:P33" si="13">O21/M21</f>
        <v>2.7064400715563508</v>
      </c>
    </row>
    <row r="22" spans="1:22" s="31" customFormat="1" x14ac:dyDescent="0.25">
      <c r="A22" s="120" t="s">
        <v>115</v>
      </c>
      <c r="B22" s="128">
        <v>17.690000000000001</v>
      </c>
      <c r="C22" s="128">
        <v>234.69</v>
      </c>
      <c r="D22" s="122">
        <f t="shared" si="7"/>
        <v>0.122061</v>
      </c>
      <c r="E22" s="122">
        <f t="shared" si="8"/>
        <v>1.6193610000000001</v>
      </c>
      <c r="F22" s="129">
        <v>2</v>
      </c>
      <c r="G22" s="130">
        <v>86.5</v>
      </c>
      <c r="H22" s="129">
        <v>36</v>
      </c>
      <c r="I22" s="128">
        <v>258.89999999999998</v>
      </c>
      <c r="J22" s="128">
        <v>301.10000000000002</v>
      </c>
      <c r="K22" s="128">
        <v>89</v>
      </c>
      <c r="L22" s="128">
        <f t="shared" si="9"/>
        <v>89</v>
      </c>
      <c r="M22" s="125">
        <f t="shared" si="12"/>
        <v>16.149999999999999</v>
      </c>
      <c r="N22" s="131">
        <f t="shared" si="10"/>
        <v>0.38270142180094741</v>
      </c>
      <c r="O22" s="131">
        <f t="shared" si="11"/>
        <v>65.02097156398095</v>
      </c>
      <c r="P22" s="125">
        <f t="shared" si="13"/>
        <v>4.0260663507108951</v>
      </c>
    </row>
    <row r="23" spans="1:22" s="32" customFormat="1" x14ac:dyDescent="0.25">
      <c r="A23" s="120" t="s">
        <v>116</v>
      </c>
      <c r="B23" s="121">
        <v>25.69</v>
      </c>
      <c r="C23" s="121">
        <v>254.69</v>
      </c>
      <c r="D23" s="122">
        <f t="shared" si="7"/>
        <v>0.177261</v>
      </c>
      <c r="E23" s="122">
        <f t="shared" si="8"/>
        <v>1.757361</v>
      </c>
      <c r="F23" s="123">
        <v>-17</v>
      </c>
      <c r="G23" s="124">
        <v>87</v>
      </c>
      <c r="H23" s="123">
        <v>37</v>
      </c>
      <c r="I23" s="121">
        <v>245.5</v>
      </c>
      <c r="J23" s="121">
        <v>299.89999999999998</v>
      </c>
      <c r="K23" s="121">
        <v>90.31</v>
      </c>
      <c r="L23" s="121">
        <f t="shared" si="9"/>
        <v>90.31</v>
      </c>
      <c r="M23" s="125">
        <f t="shared" si="12"/>
        <v>16.149999999999999</v>
      </c>
      <c r="N23" s="125">
        <f t="shared" si="10"/>
        <v>0.29687500000000011</v>
      </c>
      <c r="O23" s="125">
        <f t="shared" si="11"/>
        <v>46.072031250000016</v>
      </c>
      <c r="P23" s="125">
        <f t="shared" si="13"/>
        <v>2.8527573529411776</v>
      </c>
    </row>
    <row r="24" spans="1:22" s="32" customFormat="1" x14ac:dyDescent="0.25">
      <c r="A24" s="120" t="s">
        <v>101</v>
      </c>
      <c r="B24" s="121">
        <v>19.690000000000001</v>
      </c>
      <c r="C24" s="121">
        <v>244.69</v>
      </c>
      <c r="D24" s="122">
        <f t="shared" si="7"/>
        <v>0.13586100000000001</v>
      </c>
      <c r="E24" s="122">
        <f t="shared" si="8"/>
        <v>1.688361</v>
      </c>
      <c r="F24" s="123">
        <v>-22</v>
      </c>
      <c r="G24" s="124">
        <v>78.5</v>
      </c>
      <c r="H24" s="123">
        <v>35</v>
      </c>
      <c r="I24" s="121">
        <v>243.3</v>
      </c>
      <c r="J24" s="121">
        <v>293.39999999999998</v>
      </c>
      <c r="K24" s="121">
        <v>87.7</v>
      </c>
      <c r="L24" s="121">
        <f t="shared" si="9"/>
        <v>87.7</v>
      </c>
      <c r="M24" s="125">
        <f t="shared" si="12"/>
        <v>16.149999999999999</v>
      </c>
      <c r="N24" s="125">
        <f t="shared" si="10"/>
        <v>0.32235528942115788</v>
      </c>
      <c r="O24" s="125">
        <f t="shared" si="11"/>
        <v>50.158483033932171</v>
      </c>
      <c r="P24" s="125">
        <f t="shared" si="13"/>
        <v>3.1057884231536952</v>
      </c>
    </row>
    <row r="25" spans="1:22" s="32" customFormat="1" x14ac:dyDescent="0.25">
      <c r="A25" s="120" t="s">
        <v>117</v>
      </c>
      <c r="B25" s="121">
        <v>24.69</v>
      </c>
      <c r="C25" s="121">
        <v>234.69</v>
      </c>
      <c r="D25" s="122">
        <f t="shared" si="7"/>
        <v>0.17036100000000001</v>
      </c>
      <c r="E25" s="122">
        <f t="shared" si="8"/>
        <v>1.6193610000000001</v>
      </c>
      <c r="F25" s="123">
        <v>-17</v>
      </c>
      <c r="G25" s="124">
        <v>86.5</v>
      </c>
      <c r="H25" s="123">
        <v>35.5</v>
      </c>
      <c r="I25" s="121">
        <v>245.8</v>
      </c>
      <c r="J25" s="121">
        <v>301.10000000000002</v>
      </c>
      <c r="K25" s="121">
        <v>88.35</v>
      </c>
      <c r="L25" s="121">
        <f t="shared" si="9"/>
        <v>88.35</v>
      </c>
      <c r="M25" s="125">
        <f t="shared" si="12"/>
        <v>16.149999999999999</v>
      </c>
      <c r="N25" s="125">
        <f t="shared" si="10"/>
        <v>0.29204339963833625</v>
      </c>
      <c r="O25" s="125">
        <f t="shared" si="11"/>
        <v>45.982233273056046</v>
      </c>
      <c r="P25" s="125">
        <f t="shared" si="13"/>
        <v>2.8471971066907771</v>
      </c>
    </row>
    <row r="26" spans="1:22" s="4" customFormat="1" x14ac:dyDescent="0.25">
      <c r="A26" s="120" t="s">
        <v>139</v>
      </c>
      <c r="B26" s="118">
        <v>22.69</v>
      </c>
      <c r="C26" s="118">
        <v>264.69</v>
      </c>
      <c r="D26" s="76">
        <f t="shared" ref="D26:E33" si="14">B26*0.0069</f>
        <v>0.15656100000000001</v>
      </c>
      <c r="E26" s="76">
        <f t="shared" si="14"/>
        <v>1.8263609999999999</v>
      </c>
      <c r="F26" s="93">
        <v>-14</v>
      </c>
      <c r="G26" s="93">
        <v>94</v>
      </c>
      <c r="H26" s="93">
        <v>40</v>
      </c>
      <c r="I26" s="118">
        <v>247.9</v>
      </c>
      <c r="J26" s="118">
        <v>305.2</v>
      </c>
      <c r="K26" s="118">
        <v>94.27</v>
      </c>
      <c r="L26" s="118">
        <f>K26</f>
        <v>94.27</v>
      </c>
      <c r="M26" s="125">
        <f t="shared" si="12"/>
        <v>16.149999999999999</v>
      </c>
      <c r="N26" s="119">
        <f t="shared" si="10"/>
        <v>0.28184991273996518</v>
      </c>
      <c r="O26" s="119">
        <f t="shared" si="11"/>
        <v>43.300602094240851</v>
      </c>
      <c r="P26" s="125">
        <f t="shared" si="13"/>
        <v>2.681151832460734</v>
      </c>
    </row>
    <row r="27" spans="1:22" s="32" customFormat="1" x14ac:dyDescent="0.25">
      <c r="A27" s="120" t="s">
        <v>119</v>
      </c>
      <c r="B27" s="121">
        <v>24.69</v>
      </c>
      <c r="C27" s="121">
        <v>244.69</v>
      </c>
      <c r="D27" s="122">
        <f t="shared" si="14"/>
        <v>0.17036100000000001</v>
      </c>
      <c r="E27" s="122">
        <f t="shared" si="14"/>
        <v>1.688361</v>
      </c>
      <c r="F27" s="123">
        <v>-17</v>
      </c>
      <c r="G27" s="124">
        <v>86</v>
      </c>
      <c r="H27" s="123">
        <v>39</v>
      </c>
      <c r="I27" s="121">
        <v>245.8</v>
      </c>
      <c r="J27" s="121">
        <v>299.89999999999998</v>
      </c>
      <c r="K27" s="121">
        <v>92.63</v>
      </c>
      <c r="L27" s="121">
        <f t="shared" si="9"/>
        <v>92.63</v>
      </c>
      <c r="M27" s="125">
        <f t="shared" si="12"/>
        <v>16.149999999999999</v>
      </c>
      <c r="N27" s="125">
        <f t="shared" si="10"/>
        <v>0.2985212569316083</v>
      </c>
      <c r="O27" s="125">
        <f t="shared" si="11"/>
        <v>45.724500924214446</v>
      </c>
      <c r="P27" s="125">
        <f t="shared" si="13"/>
        <v>2.8312384473197802</v>
      </c>
    </row>
    <row r="28" spans="1:22" customFormat="1" x14ac:dyDescent="0.25">
      <c r="A28" s="120" t="s">
        <v>141</v>
      </c>
      <c r="B28" s="83">
        <v>24.69</v>
      </c>
      <c r="C28" s="83">
        <v>244.69</v>
      </c>
      <c r="D28" s="76">
        <f t="shared" si="14"/>
        <v>0.17036100000000001</v>
      </c>
      <c r="E28" s="76">
        <f t="shared" si="14"/>
        <v>1.688361</v>
      </c>
      <c r="F28" s="96">
        <v>-19</v>
      </c>
      <c r="G28" s="97">
        <v>88</v>
      </c>
      <c r="H28" s="96">
        <v>38</v>
      </c>
      <c r="I28" s="83">
        <v>244.5</v>
      </c>
      <c r="J28" s="83">
        <v>301.60000000000002</v>
      </c>
      <c r="K28" s="83">
        <v>91.63</v>
      </c>
      <c r="L28" s="83">
        <f>K28</f>
        <v>91.63</v>
      </c>
      <c r="M28" s="125">
        <f t="shared" si="12"/>
        <v>16.149999999999999</v>
      </c>
      <c r="N28" s="90">
        <f t="shared" si="10"/>
        <v>0.28283712784588427</v>
      </c>
      <c r="O28" s="90">
        <f t="shared" si="11"/>
        <v>43.237311733800333</v>
      </c>
      <c r="P28" s="125">
        <f t="shared" si="13"/>
        <v>2.6772329246935191</v>
      </c>
    </row>
    <row r="29" spans="1:22" customFormat="1" x14ac:dyDescent="0.25">
      <c r="A29" s="117" t="s">
        <v>140</v>
      </c>
      <c r="B29" s="83">
        <v>22.69</v>
      </c>
      <c r="C29" s="83">
        <v>264.69</v>
      </c>
      <c r="D29" s="76">
        <f t="shared" si="14"/>
        <v>0.15656100000000001</v>
      </c>
      <c r="E29" s="76">
        <f t="shared" si="14"/>
        <v>1.8263609999999999</v>
      </c>
      <c r="F29" s="97">
        <v>-20</v>
      </c>
      <c r="G29" s="97">
        <v>87</v>
      </c>
      <c r="H29" s="97">
        <v>38</v>
      </c>
      <c r="I29" s="83">
        <v>244.1</v>
      </c>
      <c r="J29" s="83">
        <v>299.10000000000002</v>
      </c>
      <c r="K29" s="83">
        <v>91.63</v>
      </c>
      <c r="L29" s="83">
        <f>K29</f>
        <v>91.63</v>
      </c>
      <c r="M29" s="125">
        <f t="shared" si="12"/>
        <v>16.149999999999999</v>
      </c>
      <c r="N29" s="90">
        <f t="shared" si="10"/>
        <v>0.29363636363636347</v>
      </c>
      <c r="O29" s="90">
        <f t="shared" si="11"/>
        <v>44.770736363636338</v>
      </c>
      <c r="P29" s="125">
        <f t="shared" si="13"/>
        <v>2.7721818181818167</v>
      </c>
    </row>
    <row r="30" spans="1:22" s="4" customFormat="1" x14ac:dyDescent="0.25">
      <c r="A30" s="117" t="s">
        <v>104</v>
      </c>
      <c r="B30" s="118">
        <v>19.690000000000001</v>
      </c>
      <c r="C30" s="118">
        <v>264.69</v>
      </c>
      <c r="D30" s="76">
        <f t="shared" si="14"/>
        <v>0.13586100000000001</v>
      </c>
      <c r="E30" s="76">
        <f t="shared" si="14"/>
        <v>1.8263609999999999</v>
      </c>
      <c r="F30" s="93">
        <v>-14</v>
      </c>
      <c r="G30" s="93">
        <v>90</v>
      </c>
      <c r="H30" s="93">
        <v>39.5</v>
      </c>
      <c r="I30" s="118">
        <v>248.3</v>
      </c>
      <c r="J30" s="118">
        <v>301.7</v>
      </c>
      <c r="K30" s="118">
        <v>93.61</v>
      </c>
      <c r="L30" s="118">
        <f>K30</f>
        <v>93.61</v>
      </c>
      <c r="M30" s="125">
        <f t="shared" si="12"/>
        <v>16.149999999999999</v>
      </c>
      <c r="N30" s="119">
        <f t="shared" si="10"/>
        <v>0.30243445692883908</v>
      </c>
      <c r="O30" s="119">
        <f t="shared" si="11"/>
        <v>46.783586142322115</v>
      </c>
      <c r="P30" s="125">
        <f t="shared" si="13"/>
        <v>2.8968164794007505</v>
      </c>
    </row>
    <row r="31" spans="1:22" x14ac:dyDescent="0.25">
      <c r="A31" s="117" t="s">
        <v>126</v>
      </c>
      <c r="B31" s="109">
        <v>24.69</v>
      </c>
      <c r="C31" s="109">
        <v>234.69</v>
      </c>
      <c r="D31" s="76">
        <f t="shared" si="14"/>
        <v>0.17036100000000001</v>
      </c>
      <c r="E31" s="76">
        <f t="shared" si="14"/>
        <v>1.6193610000000001</v>
      </c>
      <c r="F31" s="115">
        <v>-8</v>
      </c>
      <c r="G31" s="78">
        <v>80</v>
      </c>
      <c r="H31" s="115">
        <v>40</v>
      </c>
      <c r="I31" s="109">
        <v>251.5</v>
      </c>
      <c r="J31" s="109">
        <v>295.60000000000002</v>
      </c>
      <c r="K31" s="109">
        <v>94.27</v>
      </c>
      <c r="L31" s="109">
        <f>K31</f>
        <v>94.27</v>
      </c>
      <c r="M31" s="125">
        <f t="shared" si="12"/>
        <v>16.149999999999999</v>
      </c>
      <c r="N31" s="116">
        <f t="shared" si="10"/>
        <v>0.36621315192743742</v>
      </c>
      <c r="O31" s="116">
        <f t="shared" si="11"/>
        <v>57.579693877550994</v>
      </c>
      <c r="P31" s="125">
        <f t="shared" si="13"/>
        <v>3.5653061224489782</v>
      </c>
      <c r="R31" s="34"/>
      <c r="S31" s="34"/>
      <c r="T31" s="34"/>
      <c r="U31" s="34"/>
      <c r="V31" s="34"/>
    </row>
    <row r="32" spans="1:22" s="4" customFormat="1" x14ac:dyDescent="0.25">
      <c r="A32" s="117" t="s">
        <v>105</v>
      </c>
      <c r="B32" s="118">
        <v>19.690000000000001</v>
      </c>
      <c r="C32" s="118">
        <v>244.69</v>
      </c>
      <c r="D32" s="76">
        <f t="shared" si="14"/>
        <v>0.13586100000000001</v>
      </c>
      <c r="E32" s="76">
        <f t="shared" si="14"/>
        <v>1.688361</v>
      </c>
      <c r="F32" s="93">
        <v>-19</v>
      </c>
      <c r="G32" s="93">
        <v>86</v>
      </c>
      <c r="H32" s="93">
        <v>39.5</v>
      </c>
      <c r="I32" s="118">
        <v>245.2</v>
      </c>
      <c r="J32" s="118">
        <v>299.89999999999998</v>
      </c>
      <c r="K32" s="118">
        <v>93.61</v>
      </c>
      <c r="L32" s="118">
        <f>K32</f>
        <v>93.61</v>
      </c>
      <c r="M32" s="125">
        <f t="shared" si="12"/>
        <v>16.149999999999999</v>
      </c>
      <c r="N32" s="119">
        <f t="shared" si="10"/>
        <v>0.29524680073126147</v>
      </c>
      <c r="O32" s="119">
        <f t="shared" si="11"/>
        <v>44.756462522851919</v>
      </c>
      <c r="P32" s="125">
        <f t="shared" si="13"/>
        <v>2.7712979890310789</v>
      </c>
    </row>
    <row r="33" spans="1:17" s="32" customFormat="1" x14ac:dyDescent="0.25">
      <c r="A33" s="117" t="s">
        <v>120</v>
      </c>
      <c r="B33" s="121">
        <v>24.69</v>
      </c>
      <c r="C33" s="121">
        <v>229.69</v>
      </c>
      <c r="D33" s="122">
        <f t="shared" si="14"/>
        <v>0.17036100000000001</v>
      </c>
      <c r="E33" s="122">
        <f t="shared" si="14"/>
        <v>1.5848609999999999</v>
      </c>
      <c r="F33" s="123">
        <v>-27</v>
      </c>
      <c r="G33" s="124">
        <v>76</v>
      </c>
      <c r="H33" s="123">
        <v>36</v>
      </c>
      <c r="I33" s="121">
        <v>239.4</v>
      </c>
      <c r="J33" s="121">
        <v>292.60000000000002</v>
      </c>
      <c r="K33" s="121">
        <v>89</v>
      </c>
      <c r="L33" s="121">
        <f t="shared" si="9"/>
        <v>89</v>
      </c>
      <c r="M33" s="125">
        <f t="shared" si="12"/>
        <v>16.149999999999999</v>
      </c>
      <c r="N33" s="125">
        <f t="shared" si="10"/>
        <v>0.30357142857142844</v>
      </c>
      <c r="O33" s="125">
        <f t="shared" si="11"/>
        <v>45.657142857142837</v>
      </c>
      <c r="P33" s="125">
        <f t="shared" si="13"/>
        <v>2.8270676691729313</v>
      </c>
    </row>
    <row r="34" spans="1:17" x14ac:dyDescent="0.25">
      <c r="A34" s="21"/>
      <c r="D34" s="16"/>
      <c r="E34" s="16"/>
    </row>
    <row r="35" spans="1:17" x14ac:dyDescent="0.25">
      <c r="A35" s="22"/>
      <c r="B35" s="47"/>
      <c r="D35" s="45"/>
      <c r="E35" s="45"/>
      <c r="G35" s="48"/>
    </row>
    <row r="36" spans="1:17" ht="15.75" customHeight="1" x14ac:dyDescent="0.25">
      <c r="A36" s="190" t="s">
        <v>127</v>
      </c>
      <c r="B36" s="190"/>
      <c r="C36" s="190"/>
      <c r="D36" s="190"/>
      <c r="E36" s="190"/>
      <c r="F36" s="190"/>
      <c r="G36" s="190"/>
      <c r="H36" s="190"/>
      <c r="I36" s="190"/>
      <c r="J36" s="190"/>
      <c r="K36" s="190"/>
      <c r="L36" s="190"/>
      <c r="M36" s="190"/>
      <c r="N36" s="190"/>
      <c r="O36" s="190"/>
      <c r="P36" s="52"/>
      <c r="Q36" s="52"/>
    </row>
    <row r="37" spans="1:17" x14ac:dyDescent="0.25">
      <c r="A37" s="47"/>
      <c r="B37" s="50"/>
      <c r="C37" s="4"/>
      <c r="D37" s="4"/>
      <c r="F37" s="7"/>
      <c r="G37" s="15"/>
      <c r="H37" s="5"/>
      <c r="I37" s="2"/>
      <c r="J37" s="5"/>
      <c r="K37" s="4"/>
      <c r="L37" s="4"/>
      <c r="M37" s="4"/>
      <c r="N37" s="4"/>
      <c r="O37" s="4"/>
      <c r="P37" s="4"/>
      <c r="Q37" s="4"/>
    </row>
    <row r="38" spans="1:17" x14ac:dyDescent="0.25">
      <c r="A38" s="180" t="s">
        <v>1</v>
      </c>
      <c r="B38" s="169" t="s">
        <v>136</v>
      </c>
      <c r="C38" s="169"/>
      <c r="D38" s="169" t="s">
        <v>137</v>
      </c>
      <c r="E38" s="169"/>
      <c r="F38" s="169" t="s">
        <v>7</v>
      </c>
      <c r="G38" s="169"/>
      <c r="H38" s="169"/>
      <c r="I38" s="173" t="s">
        <v>81</v>
      </c>
      <c r="J38" s="173"/>
      <c r="K38" s="173"/>
      <c r="L38" s="173"/>
      <c r="M38" s="133" t="s">
        <v>39</v>
      </c>
      <c r="N38" s="132" t="s">
        <v>87</v>
      </c>
      <c r="O38" s="132" t="s">
        <v>88</v>
      </c>
      <c r="P38" s="177" t="s">
        <v>132</v>
      </c>
    </row>
    <row r="39" spans="1:17" s="49" customFormat="1" x14ac:dyDescent="0.25">
      <c r="A39" s="181"/>
      <c r="B39" s="77" t="s">
        <v>4</v>
      </c>
      <c r="C39" s="77" t="s">
        <v>6</v>
      </c>
      <c r="D39" s="87" t="s">
        <v>4</v>
      </c>
      <c r="E39" s="87" t="s">
        <v>6</v>
      </c>
      <c r="F39" s="110" t="s">
        <v>106</v>
      </c>
      <c r="G39" s="110" t="s">
        <v>168</v>
      </c>
      <c r="H39" s="110" t="s">
        <v>169</v>
      </c>
      <c r="I39" s="111" t="s">
        <v>0</v>
      </c>
      <c r="J39" s="111" t="s">
        <v>165</v>
      </c>
      <c r="K39" s="111" t="s">
        <v>166</v>
      </c>
      <c r="L39" s="111" t="s">
        <v>170</v>
      </c>
      <c r="M39" s="111" t="s">
        <v>150</v>
      </c>
      <c r="N39" s="111" t="s">
        <v>152</v>
      </c>
      <c r="O39" s="111" t="s">
        <v>85</v>
      </c>
      <c r="P39" s="178"/>
    </row>
    <row r="40" spans="1:17" s="49" customFormat="1" x14ac:dyDescent="0.25">
      <c r="A40" s="182"/>
      <c r="B40" s="133" t="s">
        <v>79</v>
      </c>
      <c r="C40" s="133" t="s">
        <v>79</v>
      </c>
      <c r="D40" s="113" t="s">
        <v>80</v>
      </c>
      <c r="E40" s="113" t="s">
        <v>80</v>
      </c>
      <c r="F40" s="134" t="s">
        <v>125</v>
      </c>
      <c r="G40" s="134" t="s">
        <v>125</v>
      </c>
      <c r="H40" s="134" t="s">
        <v>125</v>
      </c>
      <c r="I40" s="134" t="s">
        <v>84</v>
      </c>
      <c r="J40" s="134" t="s">
        <v>84</v>
      </c>
      <c r="K40" s="134" t="s">
        <v>84</v>
      </c>
      <c r="L40" s="134" t="s">
        <v>84</v>
      </c>
      <c r="M40" s="132" t="s">
        <v>41</v>
      </c>
      <c r="N40" s="132" t="s">
        <v>86</v>
      </c>
      <c r="O40" s="132" t="s">
        <v>41</v>
      </c>
      <c r="P40" s="179"/>
    </row>
    <row r="41" spans="1:17" x14ac:dyDescent="0.25">
      <c r="A41" s="189" t="s">
        <v>89</v>
      </c>
      <c r="B41" s="118">
        <v>25.69</v>
      </c>
      <c r="C41" s="118">
        <v>264.69</v>
      </c>
      <c r="D41" s="76">
        <f t="shared" ref="D41:D56" si="15">B41*0.0069</f>
        <v>0.177261</v>
      </c>
      <c r="E41" s="76">
        <f t="shared" ref="E41:E56" si="16">C41*0.0069</f>
        <v>1.8263609999999999</v>
      </c>
      <c r="F41" s="183">
        <v>-1</v>
      </c>
      <c r="G41" s="183">
        <v>89</v>
      </c>
      <c r="H41" s="183">
        <v>36</v>
      </c>
      <c r="I41" s="118">
        <v>255.8</v>
      </c>
      <c r="J41" s="118">
        <v>300.8</v>
      </c>
      <c r="K41" s="118">
        <v>89</v>
      </c>
      <c r="L41" s="118">
        <f t="shared" ref="L41:L56" si="17">K41</f>
        <v>89</v>
      </c>
      <c r="M41" s="119">
        <f>0.85*380*50/1000</f>
        <v>16.149999999999999</v>
      </c>
      <c r="N41" s="119">
        <f t="shared" ref="N41:N56" si="18">M41/(J41-I41)</f>
        <v>0.35888888888888887</v>
      </c>
      <c r="O41" s="119">
        <f t="shared" ref="O41:O56" si="19">N41*(I41-L41)</f>
        <v>59.862666666666669</v>
      </c>
      <c r="P41" s="187">
        <f>(O41+O42)/(M41+M42)</f>
        <v>3.706666666666667</v>
      </c>
    </row>
    <row r="42" spans="1:17" x14ac:dyDescent="0.25">
      <c r="A42" s="189"/>
      <c r="B42" s="118">
        <v>26.69</v>
      </c>
      <c r="C42" s="118">
        <v>264.69</v>
      </c>
      <c r="D42" s="76">
        <f t="shared" si="15"/>
        <v>0.18416100000000002</v>
      </c>
      <c r="E42" s="76">
        <f t="shared" si="16"/>
        <v>1.8263609999999999</v>
      </c>
      <c r="F42" s="183"/>
      <c r="G42" s="183"/>
      <c r="H42" s="183"/>
      <c r="I42" s="118">
        <v>255.8</v>
      </c>
      <c r="J42" s="118">
        <v>300.8</v>
      </c>
      <c r="K42" s="118">
        <v>89</v>
      </c>
      <c r="L42" s="118">
        <f t="shared" si="17"/>
        <v>89</v>
      </c>
      <c r="M42" s="119">
        <f t="shared" ref="M42:M56" si="20">0.85*380*50/1000</f>
        <v>16.149999999999999</v>
      </c>
      <c r="N42" s="119">
        <f t="shared" si="18"/>
        <v>0.35888888888888887</v>
      </c>
      <c r="O42" s="119">
        <f t="shared" si="19"/>
        <v>59.862666666666669</v>
      </c>
      <c r="P42" s="187"/>
    </row>
    <row r="43" spans="1:17" x14ac:dyDescent="0.25">
      <c r="A43" s="189" t="s">
        <v>91</v>
      </c>
      <c r="B43" s="118">
        <v>19.690000000000001</v>
      </c>
      <c r="C43" s="118">
        <v>244.69</v>
      </c>
      <c r="D43" s="76">
        <f t="shared" si="15"/>
        <v>0.13586100000000001</v>
      </c>
      <c r="E43" s="76">
        <f t="shared" si="16"/>
        <v>1.688361</v>
      </c>
      <c r="F43" s="183">
        <v>-9.5</v>
      </c>
      <c r="G43" s="183">
        <v>84.5</v>
      </c>
      <c r="H43" s="183">
        <v>39</v>
      </c>
      <c r="I43" s="118">
        <v>251.2</v>
      </c>
      <c r="J43" s="118">
        <v>298.60000000000002</v>
      </c>
      <c r="K43" s="118">
        <v>92.5</v>
      </c>
      <c r="L43" s="118">
        <f t="shared" si="17"/>
        <v>92.5</v>
      </c>
      <c r="M43" s="119">
        <f t="shared" si="20"/>
        <v>16.149999999999999</v>
      </c>
      <c r="N43" s="119">
        <f t="shared" si="18"/>
        <v>0.3407172995780588</v>
      </c>
      <c r="O43" s="119">
        <f t="shared" si="19"/>
        <v>54.071835443037926</v>
      </c>
      <c r="P43" s="187">
        <f>(O43+O44)/(M43+M44)</f>
        <v>3.3254076266483419</v>
      </c>
    </row>
    <row r="44" spans="1:17" x14ac:dyDescent="0.25">
      <c r="A44" s="167"/>
      <c r="B44" s="118">
        <v>22.69</v>
      </c>
      <c r="C44" s="118">
        <v>244.69</v>
      </c>
      <c r="D44" s="76">
        <f t="shared" si="15"/>
        <v>0.15656100000000001</v>
      </c>
      <c r="E44" s="76">
        <f t="shared" si="16"/>
        <v>1.688361</v>
      </c>
      <c r="F44" s="183"/>
      <c r="G44" s="183"/>
      <c r="H44" s="183"/>
      <c r="I44" s="118">
        <v>250.7</v>
      </c>
      <c r="J44" s="118">
        <v>298.60000000000002</v>
      </c>
      <c r="K44" s="118">
        <v>92.5</v>
      </c>
      <c r="L44" s="118">
        <f t="shared" si="17"/>
        <v>92.5</v>
      </c>
      <c r="M44" s="119">
        <f t="shared" si="20"/>
        <v>16.149999999999999</v>
      </c>
      <c r="N44" s="119">
        <f t="shared" si="18"/>
        <v>0.33716075156576175</v>
      </c>
      <c r="O44" s="119">
        <f t="shared" si="19"/>
        <v>53.338830897703502</v>
      </c>
      <c r="P44" s="187"/>
    </row>
    <row r="45" spans="1:17" s="51" customFormat="1" x14ac:dyDescent="0.25">
      <c r="A45" s="189" t="s">
        <v>94</v>
      </c>
      <c r="B45" s="97">
        <v>24.69</v>
      </c>
      <c r="C45" s="97">
        <v>244.69</v>
      </c>
      <c r="D45" s="76">
        <f t="shared" si="15"/>
        <v>0.17036100000000001</v>
      </c>
      <c r="E45" s="76">
        <f t="shared" si="16"/>
        <v>1.688361</v>
      </c>
      <c r="F45" s="85">
        <v>-15</v>
      </c>
      <c r="G45" s="85">
        <v>93.5</v>
      </c>
      <c r="H45" s="85">
        <v>38</v>
      </c>
      <c r="I45" s="97">
        <v>247</v>
      </c>
      <c r="J45" s="97">
        <v>306.3</v>
      </c>
      <c r="K45" s="97">
        <v>91.63</v>
      </c>
      <c r="L45" s="97">
        <f>K45</f>
        <v>91.63</v>
      </c>
      <c r="M45" s="119">
        <f t="shared" si="20"/>
        <v>16.149999999999999</v>
      </c>
      <c r="N45" s="135">
        <f>M45/(J45-I45)</f>
        <v>0.27234401349072507</v>
      </c>
      <c r="O45" s="135">
        <f>N45*(I45-L45)</f>
        <v>42.314089376053957</v>
      </c>
      <c r="P45" s="187">
        <f>(O45+O46)/(M45+M46)</f>
        <v>2.6289641173051765</v>
      </c>
    </row>
    <row r="46" spans="1:17" s="51" customFormat="1" x14ac:dyDescent="0.25">
      <c r="A46" s="167"/>
      <c r="B46" s="97">
        <v>24.69</v>
      </c>
      <c r="C46" s="97">
        <v>254.69</v>
      </c>
      <c r="D46" s="76">
        <f t="shared" si="15"/>
        <v>0.17036100000000001</v>
      </c>
      <c r="E46" s="76">
        <f t="shared" si="16"/>
        <v>1.757361</v>
      </c>
      <c r="F46" s="85">
        <v>-5</v>
      </c>
      <c r="G46" s="85">
        <v>89.5</v>
      </c>
      <c r="H46" s="85">
        <v>38</v>
      </c>
      <c r="I46" s="97">
        <v>247</v>
      </c>
      <c r="J46" s="97">
        <v>305.89999999999998</v>
      </c>
      <c r="K46" s="97">
        <v>91.63</v>
      </c>
      <c r="L46" s="97">
        <f>K46</f>
        <v>91.63</v>
      </c>
      <c r="M46" s="119">
        <f t="shared" si="20"/>
        <v>16.149999999999999</v>
      </c>
      <c r="N46" s="135">
        <f>M46/(J46-I46)</f>
        <v>0.27419354838709686</v>
      </c>
      <c r="O46" s="135">
        <f>N46*(I46-L46)</f>
        <v>42.60145161290324</v>
      </c>
      <c r="P46" s="187"/>
    </row>
    <row r="47" spans="1:17" x14ac:dyDescent="0.25">
      <c r="A47" s="189" t="s">
        <v>99</v>
      </c>
      <c r="B47" s="118">
        <v>24.69</v>
      </c>
      <c r="C47" s="118">
        <v>264.69</v>
      </c>
      <c r="D47" s="76">
        <f t="shared" si="15"/>
        <v>0.17036100000000001</v>
      </c>
      <c r="E47" s="76">
        <f t="shared" si="16"/>
        <v>1.8263609999999999</v>
      </c>
      <c r="F47" s="183">
        <v>-2</v>
      </c>
      <c r="G47" s="183">
        <v>97</v>
      </c>
      <c r="H47" s="183">
        <v>41</v>
      </c>
      <c r="I47" s="118">
        <v>255.4</v>
      </c>
      <c r="J47" s="118">
        <v>307.8</v>
      </c>
      <c r="K47" s="118">
        <v>95.6</v>
      </c>
      <c r="L47" s="118">
        <f t="shared" si="17"/>
        <v>95.6</v>
      </c>
      <c r="M47" s="119">
        <f t="shared" si="20"/>
        <v>16.149999999999999</v>
      </c>
      <c r="N47" s="119">
        <f t="shared" si="18"/>
        <v>0.30820610687022892</v>
      </c>
      <c r="O47" s="119">
        <f t="shared" si="19"/>
        <v>49.251335877862587</v>
      </c>
      <c r="P47" s="187">
        <f>(O47+O48)/(M47+M48)</f>
        <v>3.0496183206106866</v>
      </c>
    </row>
    <row r="48" spans="1:17" x14ac:dyDescent="0.25">
      <c r="A48" s="167"/>
      <c r="B48" s="118">
        <v>24.69</v>
      </c>
      <c r="C48" s="118">
        <v>264.69</v>
      </c>
      <c r="D48" s="76">
        <f t="shared" si="15"/>
        <v>0.17036100000000001</v>
      </c>
      <c r="E48" s="76">
        <f t="shared" si="16"/>
        <v>1.8263609999999999</v>
      </c>
      <c r="F48" s="183"/>
      <c r="G48" s="183"/>
      <c r="H48" s="183"/>
      <c r="I48" s="118">
        <v>255.4</v>
      </c>
      <c r="J48" s="118">
        <v>307.8</v>
      </c>
      <c r="K48" s="118">
        <v>95.6</v>
      </c>
      <c r="L48" s="118">
        <f t="shared" si="17"/>
        <v>95.6</v>
      </c>
      <c r="M48" s="119">
        <f t="shared" si="20"/>
        <v>16.149999999999999</v>
      </c>
      <c r="N48" s="119">
        <f t="shared" si="18"/>
        <v>0.30820610687022892</v>
      </c>
      <c r="O48" s="119">
        <f t="shared" si="19"/>
        <v>49.251335877862587</v>
      </c>
      <c r="P48" s="187"/>
    </row>
    <row r="49" spans="1:16" x14ac:dyDescent="0.25">
      <c r="A49" s="189" t="s">
        <v>100</v>
      </c>
      <c r="B49" s="118">
        <v>22.69</v>
      </c>
      <c r="C49" s="118">
        <v>264.69</v>
      </c>
      <c r="D49" s="76">
        <f t="shared" si="15"/>
        <v>0.15656100000000001</v>
      </c>
      <c r="E49" s="76">
        <f t="shared" si="16"/>
        <v>1.8263609999999999</v>
      </c>
      <c r="F49" s="183">
        <v>-16</v>
      </c>
      <c r="G49" s="183">
        <v>90</v>
      </c>
      <c r="H49" s="183">
        <v>40</v>
      </c>
      <c r="I49" s="118">
        <v>246.6</v>
      </c>
      <c r="J49" s="118">
        <v>301.7</v>
      </c>
      <c r="K49" s="118">
        <v>94.27</v>
      </c>
      <c r="L49" s="118">
        <f t="shared" si="17"/>
        <v>94.27</v>
      </c>
      <c r="M49" s="119">
        <f t="shared" si="20"/>
        <v>16.149999999999999</v>
      </c>
      <c r="N49" s="119">
        <f t="shared" si="18"/>
        <v>0.2931034482758621</v>
      </c>
      <c r="O49" s="119">
        <f t="shared" si="19"/>
        <v>44.648448275862066</v>
      </c>
      <c r="P49" s="187">
        <f>(O49+O50)/(M49+M50)</f>
        <v>2.7578021877040926</v>
      </c>
    </row>
    <row r="50" spans="1:16" x14ac:dyDescent="0.25">
      <c r="A50" s="167"/>
      <c r="B50" s="118">
        <v>24.69</v>
      </c>
      <c r="C50" s="118">
        <v>264.69</v>
      </c>
      <c r="D50" s="76">
        <f t="shared" si="15"/>
        <v>0.17036100000000001</v>
      </c>
      <c r="E50" s="76">
        <f t="shared" si="16"/>
        <v>1.8263609999999999</v>
      </c>
      <c r="F50" s="183"/>
      <c r="G50" s="183"/>
      <c r="H50" s="183"/>
      <c r="I50" s="118">
        <v>246.4</v>
      </c>
      <c r="J50" s="118">
        <v>301.7</v>
      </c>
      <c r="K50" s="118">
        <v>94.27</v>
      </c>
      <c r="L50" s="118">
        <f t="shared" si="17"/>
        <v>94.27</v>
      </c>
      <c r="M50" s="119">
        <f t="shared" si="20"/>
        <v>16.149999999999999</v>
      </c>
      <c r="N50" s="119">
        <f t="shared" si="18"/>
        <v>0.29204339963833642</v>
      </c>
      <c r="O50" s="119">
        <f t="shared" si="19"/>
        <v>44.428562386980119</v>
      </c>
      <c r="P50" s="187"/>
    </row>
    <row r="51" spans="1:16" x14ac:dyDescent="0.25">
      <c r="A51" s="189" t="s">
        <v>143</v>
      </c>
      <c r="B51" s="118">
        <v>22.69</v>
      </c>
      <c r="C51" s="118">
        <v>264.69</v>
      </c>
      <c r="D51" s="76">
        <f t="shared" si="15"/>
        <v>0.15656100000000001</v>
      </c>
      <c r="E51" s="76">
        <f t="shared" si="16"/>
        <v>1.8263609999999999</v>
      </c>
      <c r="F51" s="183">
        <v>-14</v>
      </c>
      <c r="G51" s="183">
        <v>92</v>
      </c>
      <c r="H51" s="183">
        <v>41</v>
      </c>
      <c r="I51" s="118">
        <v>247.9</v>
      </c>
      <c r="J51" s="118">
        <v>303.39999999999998</v>
      </c>
      <c r="K51" s="118">
        <v>95.6</v>
      </c>
      <c r="L51" s="118">
        <f t="shared" si="17"/>
        <v>95.6</v>
      </c>
      <c r="M51" s="119">
        <f t="shared" si="20"/>
        <v>16.149999999999999</v>
      </c>
      <c r="N51" s="119">
        <f t="shared" si="18"/>
        <v>0.29099099099099113</v>
      </c>
      <c r="O51" s="119">
        <f t="shared" si="19"/>
        <v>44.317927927927954</v>
      </c>
      <c r="P51" s="187">
        <f>(O51+O52)/(M51+M52)</f>
        <v>2.7180897711871173</v>
      </c>
    </row>
    <row r="52" spans="1:16" x14ac:dyDescent="0.25">
      <c r="A52" s="167"/>
      <c r="B52" s="118">
        <v>24.69</v>
      </c>
      <c r="C52" s="118">
        <v>254.69</v>
      </c>
      <c r="D52" s="76">
        <f t="shared" si="15"/>
        <v>0.17036100000000001</v>
      </c>
      <c r="E52" s="76">
        <f t="shared" si="16"/>
        <v>1.757361</v>
      </c>
      <c r="F52" s="183"/>
      <c r="G52" s="183"/>
      <c r="H52" s="183"/>
      <c r="I52" s="118">
        <v>247.7</v>
      </c>
      <c r="J52" s="118">
        <v>304.2</v>
      </c>
      <c r="K52" s="118">
        <v>95.6</v>
      </c>
      <c r="L52" s="118">
        <f t="shared" si="17"/>
        <v>95.6</v>
      </c>
      <c r="M52" s="119">
        <f t="shared" si="20"/>
        <v>16.149999999999999</v>
      </c>
      <c r="N52" s="119">
        <f t="shared" si="18"/>
        <v>0.28584070796460176</v>
      </c>
      <c r="O52" s="119">
        <f t="shared" si="19"/>
        <v>43.476371681415927</v>
      </c>
      <c r="P52" s="187"/>
    </row>
    <row r="53" spans="1:16" x14ac:dyDescent="0.25">
      <c r="A53" s="189" t="s">
        <v>98</v>
      </c>
      <c r="B53" s="118">
        <v>22.69</v>
      </c>
      <c r="C53" s="118">
        <v>264.69</v>
      </c>
      <c r="D53" s="76">
        <f t="shared" si="15"/>
        <v>0.15656100000000001</v>
      </c>
      <c r="E53" s="76">
        <f t="shared" si="16"/>
        <v>1.8263609999999999</v>
      </c>
      <c r="F53" s="183">
        <v>-14</v>
      </c>
      <c r="G53" s="183">
        <v>85.5</v>
      </c>
      <c r="H53" s="183">
        <v>39</v>
      </c>
      <c r="I53" s="118">
        <v>247.9</v>
      </c>
      <c r="J53" s="118">
        <v>297.8</v>
      </c>
      <c r="K53" s="118">
        <v>92.95</v>
      </c>
      <c r="L53" s="118">
        <f t="shared" si="17"/>
        <v>92.95</v>
      </c>
      <c r="M53" s="119">
        <f t="shared" si="20"/>
        <v>16.149999999999999</v>
      </c>
      <c r="N53" s="119">
        <f t="shared" si="18"/>
        <v>0.32364729458917829</v>
      </c>
      <c r="O53" s="119">
        <f t="shared" si="19"/>
        <v>50.149148296593175</v>
      </c>
      <c r="P53" s="187">
        <f>(O53+O54)/(M53+M54)</f>
        <v>3.0569741424596772</v>
      </c>
    </row>
    <row r="54" spans="1:16" x14ac:dyDescent="0.25">
      <c r="A54" s="167"/>
      <c r="B54" s="118">
        <v>22.69</v>
      </c>
      <c r="C54" s="118">
        <v>244.69</v>
      </c>
      <c r="D54" s="76">
        <f t="shared" si="15"/>
        <v>0.15656100000000001</v>
      </c>
      <c r="E54" s="76">
        <f t="shared" si="16"/>
        <v>1.688361</v>
      </c>
      <c r="F54" s="183"/>
      <c r="G54" s="183"/>
      <c r="H54" s="183"/>
      <c r="I54" s="118">
        <v>247.9</v>
      </c>
      <c r="J54" s="118">
        <v>299.39999999999998</v>
      </c>
      <c r="K54" s="118">
        <v>92.95</v>
      </c>
      <c r="L54" s="118">
        <f t="shared" si="17"/>
        <v>92.95</v>
      </c>
      <c r="M54" s="119">
        <f t="shared" si="20"/>
        <v>16.149999999999999</v>
      </c>
      <c r="N54" s="119">
        <f t="shared" si="18"/>
        <v>0.3135922330097089</v>
      </c>
      <c r="O54" s="119">
        <f t="shared" si="19"/>
        <v>48.591116504854391</v>
      </c>
      <c r="P54" s="187"/>
    </row>
    <row r="55" spans="1:16" x14ac:dyDescent="0.25">
      <c r="A55" s="189" t="s">
        <v>103</v>
      </c>
      <c r="B55" s="118">
        <v>19.690000000000001</v>
      </c>
      <c r="C55" s="118">
        <v>264.69</v>
      </c>
      <c r="D55" s="76">
        <f t="shared" si="15"/>
        <v>0.13586100000000001</v>
      </c>
      <c r="E55" s="76">
        <f t="shared" si="16"/>
        <v>1.8263609999999999</v>
      </c>
      <c r="F55" s="183">
        <v>-18.5</v>
      </c>
      <c r="G55" s="183">
        <v>90.5</v>
      </c>
      <c r="H55" s="183">
        <v>41</v>
      </c>
      <c r="I55" s="118">
        <v>245.5</v>
      </c>
      <c r="J55" s="118">
        <v>302.10000000000002</v>
      </c>
      <c r="K55" s="118">
        <v>95.6</v>
      </c>
      <c r="L55" s="118">
        <f t="shared" si="17"/>
        <v>95.6</v>
      </c>
      <c r="M55" s="119">
        <f t="shared" si="20"/>
        <v>16.149999999999999</v>
      </c>
      <c r="N55" s="119">
        <f t="shared" si="18"/>
        <v>0.28533568904593626</v>
      </c>
      <c r="O55" s="119">
        <f t="shared" si="19"/>
        <v>42.771819787985848</v>
      </c>
      <c r="P55" s="187">
        <f>(O55+O56)/(M55+M56)</f>
        <v>2.5967773490407593</v>
      </c>
    </row>
    <row r="56" spans="1:16" x14ac:dyDescent="0.25">
      <c r="A56" s="167"/>
      <c r="B56" s="118">
        <v>22.69</v>
      </c>
      <c r="C56" s="118">
        <v>244.69</v>
      </c>
      <c r="D56" s="76">
        <f t="shared" si="15"/>
        <v>0.15656100000000001</v>
      </c>
      <c r="E56" s="76">
        <f t="shared" si="16"/>
        <v>1.688361</v>
      </c>
      <c r="F56" s="183"/>
      <c r="G56" s="183"/>
      <c r="H56" s="183"/>
      <c r="I56" s="118">
        <v>245</v>
      </c>
      <c r="J56" s="118">
        <v>303.7</v>
      </c>
      <c r="K56" s="118">
        <v>95.6</v>
      </c>
      <c r="L56" s="118">
        <f t="shared" si="17"/>
        <v>95.6</v>
      </c>
      <c r="M56" s="119">
        <f t="shared" si="20"/>
        <v>16.149999999999999</v>
      </c>
      <c r="N56" s="119">
        <f t="shared" si="18"/>
        <v>0.27512776831345831</v>
      </c>
      <c r="O56" s="119">
        <f t="shared" si="19"/>
        <v>41.10408858603067</v>
      </c>
      <c r="P56" s="187"/>
    </row>
    <row r="85" spans="1:247" s="28" customFormat="1" x14ac:dyDescent="0.25">
      <c r="A85" s="25"/>
      <c r="B85" s="17"/>
      <c r="C85" s="17"/>
      <c r="D85" s="15"/>
      <c r="E85" s="15"/>
      <c r="G85" s="26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  <c r="CK85" s="17"/>
      <c r="CL85" s="17"/>
      <c r="CM85" s="17"/>
      <c r="CN85" s="17"/>
      <c r="CO85" s="17"/>
      <c r="CP85" s="17"/>
      <c r="CQ85" s="17"/>
      <c r="CR85" s="17"/>
      <c r="CS85" s="17"/>
      <c r="CT85" s="17"/>
      <c r="CU85" s="17"/>
      <c r="CV85" s="17"/>
      <c r="CW85" s="17"/>
      <c r="CX85" s="17"/>
      <c r="CY85" s="17"/>
      <c r="CZ85" s="17"/>
      <c r="DA85" s="17"/>
      <c r="DB85" s="17"/>
      <c r="DC85" s="17"/>
      <c r="DD85" s="17"/>
      <c r="DE85" s="17"/>
      <c r="DF85" s="17"/>
      <c r="DG85" s="17"/>
      <c r="DH85" s="17"/>
      <c r="DI85" s="17"/>
      <c r="DJ85" s="17"/>
      <c r="DK85" s="17"/>
      <c r="DL85" s="17"/>
      <c r="DM85" s="17"/>
      <c r="DN85" s="17"/>
      <c r="DO85" s="17"/>
      <c r="DP85" s="17"/>
      <c r="DQ85" s="17"/>
      <c r="DR85" s="17"/>
      <c r="DS85" s="17"/>
      <c r="DT85" s="17"/>
      <c r="DU85" s="17"/>
      <c r="DV85" s="17"/>
      <c r="DW85" s="17"/>
      <c r="DX85" s="17"/>
      <c r="DY85" s="17"/>
      <c r="DZ85" s="17"/>
      <c r="EA85" s="17"/>
      <c r="EB85" s="17"/>
      <c r="EC85" s="17"/>
      <c r="ED85" s="17"/>
      <c r="EE85" s="17"/>
      <c r="EF85" s="17"/>
      <c r="EG85" s="17"/>
      <c r="EH85" s="17"/>
      <c r="EI85" s="17"/>
      <c r="EJ85" s="17"/>
      <c r="EK85" s="17"/>
      <c r="EL85" s="17"/>
      <c r="EM85" s="17"/>
      <c r="EN85" s="17"/>
      <c r="EO85" s="17"/>
      <c r="EP85" s="17"/>
      <c r="EQ85" s="17"/>
      <c r="ER85" s="17"/>
      <c r="ES85" s="17"/>
      <c r="ET85" s="17"/>
      <c r="EU85" s="17"/>
      <c r="EV85" s="17"/>
      <c r="EW85" s="17"/>
      <c r="EX85" s="17"/>
      <c r="EY85" s="17"/>
      <c r="EZ85" s="17"/>
      <c r="FA85" s="17"/>
      <c r="FB85" s="17"/>
      <c r="FC85" s="17"/>
      <c r="FD85" s="17"/>
      <c r="FE85" s="17"/>
      <c r="FF85" s="17"/>
      <c r="FG85" s="17"/>
      <c r="FH85" s="17"/>
      <c r="FI85" s="17"/>
      <c r="FJ85" s="17"/>
      <c r="FK85" s="17"/>
      <c r="FL85" s="17"/>
      <c r="FM85" s="17"/>
      <c r="FN85" s="17"/>
      <c r="FO85" s="17"/>
      <c r="FP85" s="17"/>
      <c r="FQ85" s="17"/>
      <c r="FR85" s="17"/>
      <c r="FS85" s="17"/>
      <c r="FT85" s="17"/>
      <c r="FU85" s="17"/>
      <c r="FV85" s="17"/>
      <c r="FW85" s="17"/>
      <c r="FX85" s="17"/>
      <c r="FY85" s="17"/>
      <c r="FZ85" s="17"/>
      <c r="GA85" s="17"/>
      <c r="GB85" s="17"/>
      <c r="GC85" s="17"/>
      <c r="GD85" s="17"/>
      <c r="GE85" s="17"/>
      <c r="GF85" s="17"/>
      <c r="GG85" s="17"/>
      <c r="GH85" s="17"/>
      <c r="GI85" s="17"/>
      <c r="GJ85" s="17"/>
      <c r="GK85" s="17"/>
      <c r="GL85" s="17"/>
      <c r="GM85" s="17"/>
      <c r="GN85" s="17"/>
      <c r="GO85" s="17"/>
      <c r="GP85" s="17"/>
      <c r="GQ85" s="17"/>
      <c r="GR85" s="17"/>
      <c r="GS85" s="17"/>
      <c r="GT85" s="17"/>
      <c r="GU85" s="17"/>
      <c r="GV85" s="17"/>
      <c r="GW85" s="17"/>
      <c r="GX85" s="17"/>
      <c r="GY85" s="17"/>
      <c r="GZ85" s="17"/>
      <c r="HA85" s="17"/>
      <c r="HB85" s="17"/>
      <c r="HC85" s="17"/>
      <c r="HD85" s="17"/>
      <c r="HE85" s="17"/>
      <c r="HF85" s="17"/>
      <c r="HG85" s="17"/>
      <c r="HH85" s="17"/>
      <c r="HI85" s="17"/>
      <c r="HJ85" s="17"/>
      <c r="HK85" s="17"/>
      <c r="HL85" s="17"/>
      <c r="HM85" s="17"/>
      <c r="HN85" s="17"/>
      <c r="HO85" s="17"/>
      <c r="HP85" s="17"/>
      <c r="HQ85" s="17"/>
      <c r="HR85" s="17"/>
      <c r="HS85" s="17"/>
      <c r="HT85" s="17"/>
      <c r="HU85" s="17"/>
      <c r="HV85" s="17"/>
      <c r="HW85" s="17"/>
      <c r="HX85" s="17"/>
      <c r="HY85" s="17"/>
      <c r="HZ85" s="17"/>
      <c r="IA85" s="17"/>
      <c r="IB85" s="17"/>
      <c r="IC85" s="17"/>
      <c r="ID85" s="17"/>
      <c r="IE85" s="17"/>
      <c r="IF85" s="17"/>
      <c r="IG85" s="17"/>
      <c r="IH85" s="17"/>
      <c r="II85" s="17"/>
      <c r="IJ85" s="17"/>
      <c r="IK85" s="17"/>
      <c r="IL85" s="17"/>
      <c r="IM85" s="17"/>
    </row>
    <row r="86" spans="1:247" s="28" customFormat="1" x14ac:dyDescent="0.25">
      <c r="A86" s="25"/>
      <c r="B86" s="17"/>
      <c r="C86" s="17"/>
      <c r="D86" s="15"/>
      <c r="E86" s="15"/>
      <c r="G86" s="26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  <c r="CK86" s="17"/>
      <c r="CL86" s="17"/>
      <c r="CM86" s="17"/>
      <c r="CN86" s="17"/>
      <c r="CO86" s="17"/>
      <c r="CP86" s="17"/>
      <c r="CQ86" s="17"/>
      <c r="CR86" s="17"/>
      <c r="CS86" s="17"/>
      <c r="CT86" s="17"/>
      <c r="CU86" s="17"/>
      <c r="CV86" s="17"/>
      <c r="CW86" s="17"/>
      <c r="CX86" s="17"/>
      <c r="CY86" s="17"/>
      <c r="CZ86" s="17"/>
      <c r="DA86" s="17"/>
      <c r="DB86" s="17"/>
      <c r="DC86" s="17"/>
      <c r="DD86" s="17"/>
      <c r="DE86" s="17"/>
      <c r="DF86" s="17"/>
      <c r="DG86" s="17"/>
      <c r="DH86" s="17"/>
      <c r="DI86" s="17"/>
      <c r="DJ86" s="17"/>
      <c r="DK86" s="17"/>
      <c r="DL86" s="17"/>
      <c r="DM86" s="17"/>
      <c r="DN86" s="17"/>
      <c r="DO86" s="17"/>
      <c r="DP86" s="17"/>
      <c r="DQ86" s="17"/>
      <c r="DR86" s="17"/>
      <c r="DS86" s="17"/>
      <c r="DT86" s="17"/>
      <c r="DU86" s="17"/>
      <c r="DV86" s="17"/>
      <c r="DW86" s="17"/>
      <c r="DX86" s="17"/>
      <c r="DY86" s="17"/>
      <c r="DZ86" s="17"/>
      <c r="EA86" s="17"/>
      <c r="EB86" s="17"/>
      <c r="EC86" s="17"/>
      <c r="ED86" s="17"/>
      <c r="EE86" s="17"/>
      <c r="EF86" s="17"/>
      <c r="EG86" s="17"/>
      <c r="EH86" s="17"/>
      <c r="EI86" s="17"/>
      <c r="EJ86" s="17"/>
      <c r="EK86" s="17"/>
      <c r="EL86" s="17"/>
      <c r="EM86" s="17"/>
      <c r="EN86" s="17"/>
      <c r="EO86" s="17"/>
      <c r="EP86" s="17"/>
      <c r="EQ86" s="17"/>
      <c r="ER86" s="17"/>
      <c r="ES86" s="17"/>
      <c r="ET86" s="17"/>
      <c r="EU86" s="17"/>
      <c r="EV86" s="17"/>
      <c r="EW86" s="17"/>
      <c r="EX86" s="17"/>
      <c r="EY86" s="17"/>
      <c r="EZ86" s="17"/>
      <c r="FA86" s="17"/>
      <c r="FB86" s="17"/>
      <c r="FC86" s="17"/>
      <c r="FD86" s="17"/>
      <c r="FE86" s="17"/>
      <c r="FF86" s="17"/>
      <c r="FG86" s="17"/>
      <c r="FH86" s="17"/>
      <c r="FI86" s="17"/>
      <c r="FJ86" s="17"/>
      <c r="FK86" s="17"/>
      <c r="FL86" s="17"/>
      <c r="FM86" s="17"/>
      <c r="FN86" s="17"/>
      <c r="FO86" s="17"/>
      <c r="FP86" s="17"/>
      <c r="FQ86" s="17"/>
      <c r="FR86" s="17"/>
      <c r="FS86" s="17"/>
      <c r="FT86" s="17"/>
      <c r="FU86" s="17"/>
      <c r="FV86" s="17"/>
      <c r="FW86" s="17"/>
      <c r="FX86" s="17"/>
      <c r="FY86" s="17"/>
      <c r="FZ86" s="17"/>
      <c r="GA86" s="17"/>
      <c r="GB86" s="17"/>
      <c r="GC86" s="17"/>
      <c r="GD86" s="17"/>
      <c r="GE86" s="17"/>
      <c r="GF86" s="17"/>
      <c r="GG86" s="17"/>
      <c r="GH86" s="17"/>
      <c r="GI86" s="17"/>
      <c r="GJ86" s="17"/>
      <c r="GK86" s="17"/>
      <c r="GL86" s="17"/>
      <c r="GM86" s="17"/>
      <c r="GN86" s="17"/>
      <c r="GO86" s="17"/>
      <c r="GP86" s="17"/>
      <c r="GQ86" s="17"/>
      <c r="GR86" s="17"/>
      <c r="GS86" s="17"/>
      <c r="GT86" s="17"/>
      <c r="GU86" s="17"/>
      <c r="GV86" s="17"/>
      <c r="GW86" s="17"/>
      <c r="GX86" s="17"/>
      <c r="GY86" s="17"/>
      <c r="GZ86" s="17"/>
      <c r="HA86" s="17"/>
      <c r="HB86" s="17"/>
      <c r="HC86" s="17"/>
      <c r="HD86" s="17"/>
      <c r="HE86" s="17"/>
      <c r="HF86" s="17"/>
      <c r="HG86" s="17"/>
      <c r="HH86" s="17"/>
      <c r="HI86" s="17"/>
      <c r="HJ86" s="17"/>
      <c r="HK86" s="17"/>
      <c r="HL86" s="17"/>
      <c r="HM86" s="17"/>
      <c r="HN86" s="17"/>
      <c r="HO86" s="17"/>
      <c r="HP86" s="17"/>
      <c r="HQ86" s="17"/>
      <c r="HR86" s="17"/>
      <c r="HS86" s="17"/>
      <c r="HT86" s="17"/>
      <c r="HU86" s="17"/>
      <c r="HV86" s="17"/>
      <c r="HW86" s="17"/>
      <c r="HX86" s="17"/>
      <c r="HY86" s="17"/>
      <c r="HZ86" s="17"/>
      <c r="IA86" s="17"/>
      <c r="IB86" s="17"/>
      <c r="IC86" s="17"/>
      <c r="ID86" s="17"/>
      <c r="IE86" s="17"/>
      <c r="IF86" s="17"/>
      <c r="IG86" s="17"/>
      <c r="IH86" s="17"/>
      <c r="II86" s="17"/>
      <c r="IJ86" s="17"/>
      <c r="IK86" s="17"/>
      <c r="IL86" s="17"/>
      <c r="IM86" s="17"/>
    </row>
    <row r="87" spans="1:247" s="28" customFormat="1" x14ac:dyDescent="0.25">
      <c r="A87" s="25"/>
      <c r="B87" s="17"/>
      <c r="C87" s="17"/>
      <c r="D87" s="15"/>
      <c r="E87" s="15"/>
      <c r="G87" s="26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  <c r="CK87" s="17"/>
      <c r="CL87" s="17"/>
      <c r="CM87" s="17"/>
      <c r="CN87" s="17"/>
      <c r="CO87" s="17"/>
      <c r="CP87" s="17"/>
      <c r="CQ87" s="17"/>
      <c r="CR87" s="17"/>
      <c r="CS87" s="17"/>
      <c r="CT87" s="17"/>
      <c r="CU87" s="17"/>
      <c r="CV87" s="17"/>
      <c r="CW87" s="17"/>
      <c r="CX87" s="17"/>
      <c r="CY87" s="17"/>
      <c r="CZ87" s="17"/>
      <c r="DA87" s="17"/>
      <c r="DB87" s="17"/>
      <c r="DC87" s="17"/>
      <c r="DD87" s="17"/>
      <c r="DE87" s="17"/>
      <c r="DF87" s="17"/>
      <c r="DG87" s="17"/>
      <c r="DH87" s="17"/>
      <c r="DI87" s="17"/>
      <c r="DJ87" s="17"/>
      <c r="DK87" s="17"/>
      <c r="DL87" s="17"/>
      <c r="DM87" s="17"/>
      <c r="DN87" s="17"/>
      <c r="DO87" s="17"/>
      <c r="DP87" s="17"/>
      <c r="DQ87" s="17"/>
      <c r="DR87" s="17"/>
      <c r="DS87" s="17"/>
      <c r="DT87" s="17"/>
      <c r="DU87" s="17"/>
      <c r="DV87" s="17"/>
      <c r="DW87" s="17"/>
      <c r="DX87" s="17"/>
      <c r="DY87" s="17"/>
      <c r="DZ87" s="17"/>
      <c r="EA87" s="17"/>
      <c r="EB87" s="17"/>
      <c r="EC87" s="17"/>
      <c r="ED87" s="17"/>
      <c r="EE87" s="17"/>
      <c r="EF87" s="17"/>
      <c r="EG87" s="17"/>
      <c r="EH87" s="17"/>
      <c r="EI87" s="17"/>
      <c r="EJ87" s="17"/>
      <c r="EK87" s="17"/>
      <c r="EL87" s="17"/>
      <c r="EM87" s="17"/>
      <c r="EN87" s="17"/>
      <c r="EO87" s="17"/>
      <c r="EP87" s="17"/>
      <c r="EQ87" s="17"/>
      <c r="ER87" s="17"/>
      <c r="ES87" s="17"/>
      <c r="ET87" s="17"/>
      <c r="EU87" s="17"/>
      <c r="EV87" s="17"/>
      <c r="EW87" s="17"/>
      <c r="EX87" s="17"/>
      <c r="EY87" s="17"/>
      <c r="EZ87" s="17"/>
      <c r="FA87" s="17"/>
      <c r="FB87" s="17"/>
      <c r="FC87" s="17"/>
      <c r="FD87" s="17"/>
      <c r="FE87" s="17"/>
      <c r="FF87" s="17"/>
      <c r="FG87" s="17"/>
      <c r="FH87" s="17"/>
      <c r="FI87" s="17"/>
      <c r="FJ87" s="17"/>
      <c r="FK87" s="17"/>
      <c r="FL87" s="17"/>
      <c r="FM87" s="17"/>
      <c r="FN87" s="17"/>
      <c r="FO87" s="17"/>
      <c r="FP87" s="17"/>
      <c r="FQ87" s="17"/>
      <c r="FR87" s="17"/>
      <c r="FS87" s="17"/>
      <c r="FT87" s="17"/>
      <c r="FU87" s="17"/>
      <c r="FV87" s="17"/>
      <c r="FW87" s="17"/>
      <c r="FX87" s="17"/>
      <c r="FY87" s="17"/>
      <c r="FZ87" s="17"/>
      <c r="GA87" s="17"/>
      <c r="GB87" s="17"/>
      <c r="GC87" s="17"/>
      <c r="GD87" s="17"/>
      <c r="GE87" s="17"/>
      <c r="GF87" s="17"/>
      <c r="GG87" s="17"/>
      <c r="GH87" s="17"/>
      <c r="GI87" s="17"/>
      <c r="GJ87" s="17"/>
      <c r="GK87" s="17"/>
      <c r="GL87" s="17"/>
      <c r="GM87" s="17"/>
      <c r="GN87" s="17"/>
      <c r="GO87" s="17"/>
      <c r="GP87" s="17"/>
      <c r="GQ87" s="17"/>
      <c r="GR87" s="17"/>
      <c r="GS87" s="17"/>
      <c r="GT87" s="17"/>
      <c r="GU87" s="17"/>
      <c r="GV87" s="17"/>
      <c r="GW87" s="17"/>
      <c r="GX87" s="17"/>
      <c r="GY87" s="17"/>
      <c r="GZ87" s="17"/>
      <c r="HA87" s="17"/>
      <c r="HB87" s="17"/>
      <c r="HC87" s="17"/>
      <c r="HD87" s="17"/>
      <c r="HE87" s="17"/>
      <c r="HF87" s="17"/>
      <c r="HG87" s="17"/>
      <c r="HH87" s="17"/>
      <c r="HI87" s="17"/>
      <c r="HJ87" s="17"/>
      <c r="HK87" s="17"/>
      <c r="HL87" s="17"/>
      <c r="HM87" s="17"/>
      <c r="HN87" s="17"/>
      <c r="HO87" s="17"/>
      <c r="HP87" s="17"/>
      <c r="HQ87" s="17"/>
      <c r="HR87" s="17"/>
      <c r="HS87" s="17"/>
      <c r="HT87" s="17"/>
      <c r="HU87" s="17"/>
      <c r="HV87" s="17"/>
      <c r="HW87" s="17"/>
      <c r="HX87" s="17"/>
      <c r="HY87" s="17"/>
      <c r="HZ87" s="17"/>
      <c r="IA87" s="17"/>
      <c r="IB87" s="17"/>
      <c r="IC87" s="17"/>
      <c r="ID87" s="17"/>
      <c r="IE87" s="17"/>
      <c r="IF87" s="17"/>
      <c r="IG87" s="17"/>
      <c r="IH87" s="17"/>
      <c r="II87" s="17"/>
      <c r="IJ87" s="17"/>
      <c r="IK87" s="17"/>
      <c r="IL87" s="17"/>
      <c r="IM87" s="17"/>
    </row>
    <row r="88" spans="1:247" s="28" customFormat="1" x14ac:dyDescent="0.25">
      <c r="A88" s="25"/>
      <c r="B88" s="17"/>
      <c r="C88" s="17"/>
      <c r="D88" s="15"/>
      <c r="E88" s="15"/>
      <c r="G88" s="26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  <c r="CK88" s="17"/>
      <c r="CL88" s="17"/>
      <c r="CM88" s="17"/>
      <c r="CN88" s="17"/>
      <c r="CO88" s="17"/>
      <c r="CP88" s="17"/>
      <c r="CQ88" s="17"/>
      <c r="CR88" s="17"/>
      <c r="CS88" s="17"/>
      <c r="CT88" s="17"/>
      <c r="CU88" s="17"/>
      <c r="CV88" s="17"/>
      <c r="CW88" s="17"/>
      <c r="CX88" s="17"/>
      <c r="CY88" s="17"/>
      <c r="CZ88" s="17"/>
      <c r="DA88" s="17"/>
      <c r="DB88" s="17"/>
      <c r="DC88" s="17"/>
      <c r="DD88" s="17"/>
      <c r="DE88" s="17"/>
      <c r="DF88" s="17"/>
      <c r="DG88" s="17"/>
      <c r="DH88" s="17"/>
      <c r="DI88" s="17"/>
      <c r="DJ88" s="17"/>
      <c r="DK88" s="17"/>
      <c r="DL88" s="17"/>
      <c r="DM88" s="17"/>
      <c r="DN88" s="17"/>
      <c r="DO88" s="17"/>
      <c r="DP88" s="17"/>
      <c r="DQ88" s="17"/>
      <c r="DR88" s="17"/>
      <c r="DS88" s="17"/>
      <c r="DT88" s="17"/>
      <c r="DU88" s="17"/>
      <c r="DV88" s="17"/>
      <c r="DW88" s="17"/>
      <c r="DX88" s="17"/>
      <c r="DY88" s="17"/>
      <c r="DZ88" s="17"/>
      <c r="EA88" s="17"/>
      <c r="EB88" s="17"/>
      <c r="EC88" s="17"/>
      <c r="ED88" s="17"/>
      <c r="EE88" s="17"/>
      <c r="EF88" s="17"/>
      <c r="EG88" s="17"/>
      <c r="EH88" s="17"/>
      <c r="EI88" s="17"/>
      <c r="EJ88" s="17"/>
      <c r="EK88" s="17"/>
      <c r="EL88" s="17"/>
      <c r="EM88" s="17"/>
      <c r="EN88" s="17"/>
      <c r="EO88" s="17"/>
      <c r="EP88" s="17"/>
      <c r="EQ88" s="17"/>
      <c r="ER88" s="17"/>
      <c r="ES88" s="17"/>
      <c r="ET88" s="17"/>
      <c r="EU88" s="17"/>
      <c r="EV88" s="17"/>
      <c r="EW88" s="17"/>
      <c r="EX88" s="17"/>
      <c r="EY88" s="17"/>
      <c r="EZ88" s="17"/>
      <c r="FA88" s="17"/>
      <c r="FB88" s="17"/>
      <c r="FC88" s="17"/>
      <c r="FD88" s="17"/>
      <c r="FE88" s="17"/>
      <c r="FF88" s="17"/>
      <c r="FG88" s="17"/>
      <c r="FH88" s="17"/>
      <c r="FI88" s="17"/>
      <c r="FJ88" s="17"/>
      <c r="FK88" s="17"/>
      <c r="FL88" s="17"/>
      <c r="FM88" s="17"/>
      <c r="FN88" s="17"/>
      <c r="FO88" s="17"/>
      <c r="FP88" s="17"/>
      <c r="FQ88" s="17"/>
      <c r="FR88" s="17"/>
      <c r="FS88" s="17"/>
      <c r="FT88" s="17"/>
      <c r="FU88" s="17"/>
      <c r="FV88" s="17"/>
      <c r="FW88" s="17"/>
      <c r="FX88" s="17"/>
      <c r="FY88" s="17"/>
      <c r="FZ88" s="17"/>
      <c r="GA88" s="17"/>
      <c r="GB88" s="17"/>
      <c r="GC88" s="17"/>
      <c r="GD88" s="17"/>
      <c r="GE88" s="17"/>
      <c r="GF88" s="17"/>
      <c r="GG88" s="17"/>
      <c r="GH88" s="17"/>
      <c r="GI88" s="17"/>
      <c r="GJ88" s="17"/>
      <c r="GK88" s="17"/>
      <c r="GL88" s="17"/>
      <c r="GM88" s="17"/>
      <c r="GN88" s="17"/>
      <c r="GO88" s="17"/>
      <c r="GP88" s="17"/>
      <c r="GQ88" s="17"/>
      <c r="GR88" s="17"/>
      <c r="GS88" s="17"/>
      <c r="GT88" s="17"/>
      <c r="GU88" s="17"/>
      <c r="GV88" s="17"/>
      <c r="GW88" s="17"/>
      <c r="GX88" s="17"/>
      <c r="GY88" s="17"/>
      <c r="GZ88" s="17"/>
      <c r="HA88" s="17"/>
      <c r="HB88" s="17"/>
      <c r="HC88" s="17"/>
      <c r="HD88" s="17"/>
      <c r="HE88" s="17"/>
      <c r="HF88" s="17"/>
      <c r="HG88" s="17"/>
      <c r="HH88" s="17"/>
      <c r="HI88" s="17"/>
      <c r="HJ88" s="17"/>
      <c r="HK88" s="17"/>
      <c r="HL88" s="17"/>
      <c r="HM88" s="17"/>
      <c r="HN88" s="17"/>
      <c r="HO88" s="17"/>
      <c r="HP88" s="17"/>
      <c r="HQ88" s="17"/>
      <c r="HR88" s="17"/>
      <c r="HS88" s="17"/>
      <c r="HT88" s="17"/>
      <c r="HU88" s="17"/>
      <c r="HV88" s="17"/>
      <c r="HW88" s="17"/>
      <c r="HX88" s="17"/>
      <c r="HY88" s="17"/>
      <c r="HZ88" s="17"/>
      <c r="IA88" s="17"/>
      <c r="IB88" s="17"/>
      <c r="IC88" s="17"/>
      <c r="ID88" s="17"/>
      <c r="IE88" s="17"/>
      <c r="IF88" s="17"/>
      <c r="IG88" s="17"/>
      <c r="IH88" s="17"/>
      <c r="II88" s="17"/>
      <c r="IJ88" s="17"/>
      <c r="IK88" s="17"/>
      <c r="IL88" s="17"/>
      <c r="IM88" s="17"/>
    </row>
    <row r="89" spans="1:247" s="28" customFormat="1" x14ac:dyDescent="0.25">
      <c r="A89" s="25"/>
      <c r="B89" s="17"/>
      <c r="C89" s="17"/>
      <c r="D89" s="15"/>
      <c r="E89" s="15"/>
      <c r="G89" s="26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  <c r="CK89" s="17"/>
      <c r="CL89" s="17"/>
      <c r="CM89" s="17"/>
      <c r="CN89" s="17"/>
      <c r="CO89" s="17"/>
      <c r="CP89" s="17"/>
      <c r="CQ89" s="17"/>
      <c r="CR89" s="17"/>
      <c r="CS89" s="17"/>
      <c r="CT89" s="17"/>
      <c r="CU89" s="17"/>
      <c r="CV89" s="17"/>
      <c r="CW89" s="17"/>
      <c r="CX89" s="17"/>
      <c r="CY89" s="17"/>
      <c r="CZ89" s="17"/>
      <c r="DA89" s="17"/>
      <c r="DB89" s="17"/>
      <c r="DC89" s="17"/>
      <c r="DD89" s="17"/>
      <c r="DE89" s="17"/>
      <c r="DF89" s="17"/>
      <c r="DG89" s="17"/>
      <c r="DH89" s="17"/>
      <c r="DI89" s="17"/>
      <c r="DJ89" s="17"/>
      <c r="DK89" s="17"/>
      <c r="DL89" s="17"/>
      <c r="DM89" s="17"/>
      <c r="DN89" s="17"/>
      <c r="DO89" s="17"/>
      <c r="DP89" s="17"/>
      <c r="DQ89" s="17"/>
      <c r="DR89" s="17"/>
      <c r="DS89" s="17"/>
      <c r="DT89" s="17"/>
      <c r="DU89" s="17"/>
      <c r="DV89" s="17"/>
      <c r="DW89" s="17"/>
      <c r="DX89" s="17"/>
      <c r="DY89" s="17"/>
      <c r="DZ89" s="17"/>
      <c r="EA89" s="17"/>
      <c r="EB89" s="17"/>
      <c r="EC89" s="17"/>
      <c r="ED89" s="17"/>
      <c r="EE89" s="17"/>
      <c r="EF89" s="17"/>
      <c r="EG89" s="17"/>
      <c r="EH89" s="17"/>
      <c r="EI89" s="17"/>
      <c r="EJ89" s="17"/>
      <c r="EK89" s="17"/>
      <c r="EL89" s="17"/>
      <c r="EM89" s="17"/>
      <c r="EN89" s="17"/>
      <c r="EO89" s="17"/>
      <c r="EP89" s="17"/>
      <c r="EQ89" s="17"/>
      <c r="ER89" s="17"/>
      <c r="ES89" s="17"/>
      <c r="ET89" s="17"/>
      <c r="EU89" s="17"/>
      <c r="EV89" s="17"/>
      <c r="EW89" s="17"/>
      <c r="EX89" s="17"/>
      <c r="EY89" s="17"/>
      <c r="EZ89" s="17"/>
      <c r="FA89" s="17"/>
      <c r="FB89" s="17"/>
      <c r="FC89" s="17"/>
      <c r="FD89" s="17"/>
      <c r="FE89" s="17"/>
      <c r="FF89" s="17"/>
      <c r="FG89" s="17"/>
      <c r="FH89" s="17"/>
      <c r="FI89" s="17"/>
      <c r="FJ89" s="17"/>
      <c r="FK89" s="17"/>
      <c r="FL89" s="17"/>
      <c r="FM89" s="17"/>
      <c r="FN89" s="17"/>
      <c r="FO89" s="17"/>
      <c r="FP89" s="17"/>
      <c r="FQ89" s="17"/>
      <c r="FR89" s="17"/>
      <c r="FS89" s="17"/>
      <c r="FT89" s="17"/>
      <c r="FU89" s="17"/>
      <c r="FV89" s="17"/>
      <c r="FW89" s="17"/>
      <c r="FX89" s="17"/>
      <c r="FY89" s="17"/>
      <c r="FZ89" s="17"/>
      <c r="GA89" s="17"/>
      <c r="GB89" s="17"/>
      <c r="GC89" s="17"/>
      <c r="GD89" s="17"/>
      <c r="GE89" s="17"/>
      <c r="GF89" s="17"/>
      <c r="GG89" s="17"/>
      <c r="GH89" s="17"/>
      <c r="GI89" s="17"/>
      <c r="GJ89" s="17"/>
      <c r="GK89" s="17"/>
      <c r="GL89" s="17"/>
      <c r="GM89" s="17"/>
      <c r="GN89" s="17"/>
      <c r="GO89" s="17"/>
      <c r="GP89" s="17"/>
      <c r="GQ89" s="17"/>
      <c r="GR89" s="17"/>
      <c r="GS89" s="17"/>
      <c r="GT89" s="17"/>
      <c r="GU89" s="17"/>
      <c r="GV89" s="17"/>
      <c r="GW89" s="17"/>
      <c r="GX89" s="17"/>
      <c r="GY89" s="17"/>
      <c r="GZ89" s="17"/>
      <c r="HA89" s="17"/>
      <c r="HB89" s="17"/>
      <c r="HC89" s="17"/>
      <c r="HD89" s="17"/>
      <c r="HE89" s="17"/>
      <c r="HF89" s="17"/>
      <c r="HG89" s="17"/>
      <c r="HH89" s="17"/>
      <c r="HI89" s="17"/>
      <c r="HJ89" s="17"/>
      <c r="HK89" s="17"/>
      <c r="HL89" s="17"/>
      <c r="HM89" s="17"/>
      <c r="HN89" s="17"/>
      <c r="HO89" s="17"/>
      <c r="HP89" s="17"/>
      <c r="HQ89" s="17"/>
      <c r="HR89" s="17"/>
      <c r="HS89" s="17"/>
      <c r="HT89" s="17"/>
      <c r="HU89" s="17"/>
      <c r="HV89" s="17"/>
      <c r="HW89" s="17"/>
      <c r="HX89" s="17"/>
      <c r="HY89" s="17"/>
      <c r="HZ89" s="17"/>
      <c r="IA89" s="17"/>
      <c r="IB89" s="17"/>
      <c r="IC89" s="17"/>
      <c r="ID89" s="17"/>
      <c r="IE89" s="17"/>
      <c r="IF89" s="17"/>
      <c r="IG89" s="17"/>
      <c r="IH89" s="17"/>
      <c r="II89" s="17"/>
      <c r="IJ89" s="17"/>
      <c r="IK89" s="17"/>
      <c r="IL89" s="17"/>
      <c r="IM89" s="17"/>
    </row>
    <row r="90" spans="1:247" s="28" customFormat="1" x14ac:dyDescent="0.25">
      <c r="A90" s="25"/>
      <c r="B90" s="17"/>
      <c r="C90" s="17"/>
      <c r="D90" s="15"/>
      <c r="E90" s="15"/>
      <c r="G90" s="26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  <c r="CK90" s="17"/>
      <c r="CL90" s="17"/>
      <c r="CM90" s="17"/>
      <c r="CN90" s="17"/>
      <c r="CO90" s="17"/>
      <c r="CP90" s="17"/>
      <c r="CQ90" s="17"/>
      <c r="CR90" s="17"/>
      <c r="CS90" s="17"/>
      <c r="CT90" s="17"/>
      <c r="CU90" s="17"/>
      <c r="CV90" s="17"/>
      <c r="CW90" s="17"/>
      <c r="CX90" s="17"/>
      <c r="CY90" s="17"/>
      <c r="CZ90" s="17"/>
      <c r="DA90" s="17"/>
      <c r="DB90" s="17"/>
      <c r="DC90" s="17"/>
      <c r="DD90" s="17"/>
      <c r="DE90" s="17"/>
      <c r="DF90" s="17"/>
      <c r="DG90" s="17"/>
      <c r="DH90" s="17"/>
      <c r="DI90" s="17"/>
      <c r="DJ90" s="17"/>
      <c r="DK90" s="17"/>
      <c r="DL90" s="17"/>
      <c r="DM90" s="17"/>
      <c r="DN90" s="17"/>
      <c r="DO90" s="17"/>
      <c r="DP90" s="17"/>
      <c r="DQ90" s="17"/>
      <c r="DR90" s="17"/>
      <c r="DS90" s="17"/>
      <c r="DT90" s="17"/>
      <c r="DU90" s="17"/>
      <c r="DV90" s="17"/>
      <c r="DW90" s="17"/>
      <c r="DX90" s="17"/>
      <c r="DY90" s="17"/>
      <c r="DZ90" s="17"/>
      <c r="EA90" s="17"/>
      <c r="EB90" s="17"/>
      <c r="EC90" s="17"/>
      <c r="ED90" s="17"/>
      <c r="EE90" s="17"/>
      <c r="EF90" s="17"/>
      <c r="EG90" s="17"/>
      <c r="EH90" s="17"/>
      <c r="EI90" s="17"/>
      <c r="EJ90" s="17"/>
      <c r="EK90" s="17"/>
      <c r="EL90" s="17"/>
      <c r="EM90" s="17"/>
      <c r="EN90" s="17"/>
      <c r="EO90" s="17"/>
      <c r="EP90" s="17"/>
      <c r="EQ90" s="17"/>
      <c r="ER90" s="17"/>
      <c r="ES90" s="17"/>
      <c r="ET90" s="17"/>
      <c r="EU90" s="17"/>
      <c r="EV90" s="17"/>
      <c r="EW90" s="17"/>
      <c r="EX90" s="17"/>
      <c r="EY90" s="17"/>
      <c r="EZ90" s="17"/>
      <c r="FA90" s="17"/>
      <c r="FB90" s="17"/>
      <c r="FC90" s="17"/>
      <c r="FD90" s="17"/>
      <c r="FE90" s="17"/>
      <c r="FF90" s="17"/>
      <c r="FG90" s="17"/>
      <c r="FH90" s="17"/>
      <c r="FI90" s="17"/>
      <c r="FJ90" s="17"/>
      <c r="FK90" s="17"/>
      <c r="FL90" s="17"/>
      <c r="FM90" s="17"/>
      <c r="FN90" s="17"/>
      <c r="FO90" s="17"/>
      <c r="FP90" s="17"/>
      <c r="FQ90" s="17"/>
      <c r="FR90" s="17"/>
      <c r="FS90" s="17"/>
      <c r="FT90" s="17"/>
      <c r="FU90" s="17"/>
      <c r="FV90" s="17"/>
      <c r="FW90" s="17"/>
      <c r="FX90" s="17"/>
      <c r="FY90" s="17"/>
      <c r="FZ90" s="17"/>
      <c r="GA90" s="17"/>
      <c r="GB90" s="17"/>
      <c r="GC90" s="17"/>
      <c r="GD90" s="17"/>
      <c r="GE90" s="17"/>
      <c r="GF90" s="17"/>
      <c r="GG90" s="17"/>
      <c r="GH90" s="17"/>
      <c r="GI90" s="17"/>
      <c r="GJ90" s="17"/>
      <c r="GK90" s="17"/>
      <c r="GL90" s="17"/>
      <c r="GM90" s="17"/>
      <c r="GN90" s="17"/>
      <c r="GO90" s="17"/>
      <c r="GP90" s="17"/>
      <c r="GQ90" s="17"/>
      <c r="GR90" s="17"/>
      <c r="GS90" s="17"/>
      <c r="GT90" s="17"/>
      <c r="GU90" s="17"/>
      <c r="GV90" s="17"/>
      <c r="GW90" s="17"/>
      <c r="GX90" s="17"/>
      <c r="GY90" s="17"/>
      <c r="GZ90" s="17"/>
      <c r="HA90" s="17"/>
      <c r="HB90" s="17"/>
      <c r="HC90" s="17"/>
      <c r="HD90" s="17"/>
      <c r="HE90" s="17"/>
      <c r="HF90" s="17"/>
      <c r="HG90" s="17"/>
      <c r="HH90" s="17"/>
      <c r="HI90" s="17"/>
      <c r="HJ90" s="17"/>
      <c r="HK90" s="17"/>
      <c r="HL90" s="17"/>
      <c r="HM90" s="17"/>
      <c r="HN90" s="17"/>
      <c r="HO90" s="17"/>
      <c r="HP90" s="17"/>
      <c r="HQ90" s="17"/>
      <c r="HR90" s="17"/>
      <c r="HS90" s="17"/>
      <c r="HT90" s="17"/>
      <c r="HU90" s="17"/>
      <c r="HV90" s="17"/>
      <c r="HW90" s="17"/>
      <c r="HX90" s="17"/>
      <c r="HY90" s="17"/>
      <c r="HZ90" s="17"/>
      <c r="IA90" s="17"/>
      <c r="IB90" s="17"/>
      <c r="IC90" s="17"/>
      <c r="ID90" s="17"/>
      <c r="IE90" s="17"/>
      <c r="IF90" s="17"/>
      <c r="IG90" s="17"/>
      <c r="IH90" s="17"/>
      <c r="II90" s="17"/>
      <c r="IJ90" s="17"/>
      <c r="IK90" s="17"/>
      <c r="IL90" s="17"/>
      <c r="IM90" s="17"/>
    </row>
    <row r="91" spans="1:247" s="28" customFormat="1" x14ac:dyDescent="0.25">
      <c r="A91" s="25"/>
      <c r="B91" s="17"/>
      <c r="C91" s="17"/>
      <c r="D91" s="15"/>
      <c r="E91" s="15"/>
      <c r="G91" s="26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  <c r="CK91" s="17"/>
      <c r="CL91" s="17"/>
      <c r="CM91" s="17"/>
      <c r="CN91" s="17"/>
      <c r="CO91" s="17"/>
      <c r="CP91" s="17"/>
      <c r="CQ91" s="17"/>
      <c r="CR91" s="17"/>
      <c r="CS91" s="17"/>
      <c r="CT91" s="17"/>
      <c r="CU91" s="17"/>
      <c r="CV91" s="17"/>
      <c r="CW91" s="17"/>
      <c r="CX91" s="17"/>
      <c r="CY91" s="17"/>
      <c r="CZ91" s="17"/>
      <c r="DA91" s="17"/>
      <c r="DB91" s="17"/>
      <c r="DC91" s="17"/>
      <c r="DD91" s="17"/>
      <c r="DE91" s="17"/>
      <c r="DF91" s="17"/>
      <c r="DG91" s="17"/>
      <c r="DH91" s="17"/>
      <c r="DI91" s="17"/>
      <c r="DJ91" s="17"/>
      <c r="DK91" s="17"/>
      <c r="DL91" s="17"/>
      <c r="DM91" s="17"/>
      <c r="DN91" s="17"/>
      <c r="DO91" s="17"/>
      <c r="DP91" s="17"/>
      <c r="DQ91" s="17"/>
      <c r="DR91" s="17"/>
      <c r="DS91" s="17"/>
      <c r="DT91" s="17"/>
      <c r="DU91" s="17"/>
      <c r="DV91" s="17"/>
      <c r="DW91" s="17"/>
      <c r="DX91" s="17"/>
      <c r="DY91" s="17"/>
      <c r="DZ91" s="17"/>
      <c r="EA91" s="17"/>
      <c r="EB91" s="17"/>
      <c r="EC91" s="17"/>
      <c r="ED91" s="17"/>
      <c r="EE91" s="17"/>
      <c r="EF91" s="17"/>
      <c r="EG91" s="17"/>
      <c r="EH91" s="17"/>
      <c r="EI91" s="17"/>
      <c r="EJ91" s="17"/>
      <c r="EK91" s="17"/>
      <c r="EL91" s="17"/>
      <c r="EM91" s="17"/>
      <c r="EN91" s="17"/>
      <c r="EO91" s="17"/>
      <c r="EP91" s="17"/>
      <c r="EQ91" s="17"/>
      <c r="ER91" s="17"/>
      <c r="ES91" s="17"/>
      <c r="ET91" s="17"/>
      <c r="EU91" s="17"/>
      <c r="EV91" s="17"/>
      <c r="EW91" s="17"/>
      <c r="EX91" s="17"/>
      <c r="EY91" s="17"/>
      <c r="EZ91" s="17"/>
      <c r="FA91" s="17"/>
      <c r="FB91" s="17"/>
      <c r="FC91" s="17"/>
      <c r="FD91" s="17"/>
      <c r="FE91" s="17"/>
      <c r="FF91" s="17"/>
      <c r="FG91" s="17"/>
      <c r="FH91" s="17"/>
      <c r="FI91" s="17"/>
      <c r="FJ91" s="17"/>
      <c r="FK91" s="17"/>
      <c r="FL91" s="17"/>
      <c r="FM91" s="17"/>
      <c r="FN91" s="17"/>
      <c r="FO91" s="17"/>
      <c r="FP91" s="17"/>
      <c r="FQ91" s="17"/>
      <c r="FR91" s="17"/>
      <c r="FS91" s="17"/>
      <c r="FT91" s="17"/>
      <c r="FU91" s="17"/>
      <c r="FV91" s="17"/>
      <c r="FW91" s="17"/>
      <c r="FX91" s="17"/>
      <c r="FY91" s="17"/>
      <c r="FZ91" s="17"/>
      <c r="GA91" s="17"/>
      <c r="GB91" s="17"/>
      <c r="GC91" s="17"/>
      <c r="GD91" s="17"/>
      <c r="GE91" s="17"/>
      <c r="GF91" s="17"/>
      <c r="GG91" s="17"/>
      <c r="GH91" s="17"/>
      <c r="GI91" s="17"/>
      <c r="GJ91" s="17"/>
      <c r="GK91" s="17"/>
      <c r="GL91" s="17"/>
      <c r="GM91" s="17"/>
      <c r="GN91" s="17"/>
      <c r="GO91" s="17"/>
      <c r="GP91" s="17"/>
      <c r="GQ91" s="17"/>
      <c r="GR91" s="17"/>
      <c r="GS91" s="17"/>
      <c r="GT91" s="17"/>
      <c r="GU91" s="17"/>
      <c r="GV91" s="17"/>
      <c r="GW91" s="17"/>
      <c r="GX91" s="17"/>
      <c r="GY91" s="17"/>
      <c r="GZ91" s="17"/>
      <c r="HA91" s="17"/>
      <c r="HB91" s="17"/>
      <c r="HC91" s="17"/>
      <c r="HD91" s="17"/>
      <c r="HE91" s="17"/>
      <c r="HF91" s="17"/>
      <c r="HG91" s="17"/>
      <c r="HH91" s="17"/>
      <c r="HI91" s="17"/>
      <c r="HJ91" s="17"/>
      <c r="HK91" s="17"/>
      <c r="HL91" s="17"/>
      <c r="HM91" s="17"/>
      <c r="HN91" s="17"/>
      <c r="HO91" s="17"/>
      <c r="HP91" s="17"/>
      <c r="HQ91" s="17"/>
      <c r="HR91" s="17"/>
      <c r="HS91" s="17"/>
      <c r="HT91" s="17"/>
      <c r="HU91" s="17"/>
      <c r="HV91" s="17"/>
      <c r="HW91" s="17"/>
      <c r="HX91" s="17"/>
      <c r="HY91" s="17"/>
      <c r="HZ91" s="17"/>
      <c r="IA91" s="17"/>
      <c r="IB91" s="17"/>
      <c r="IC91" s="17"/>
      <c r="ID91" s="17"/>
      <c r="IE91" s="17"/>
      <c r="IF91" s="17"/>
      <c r="IG91" s="17"/>
      <c r="IH91" s="17"/>
      <c r="II91" s="17"/>
      <c r="IJ91" s="17"/>
      <c r="IK91" s="17"/>
      <c r="IL91" s="17"/>
      <c r="IM91" s="17"/>
    </row>
    <row r="92" spans="1:247" s="28" customFormat="1" x14ac:dyDescent="0.25">
      <c r="A92" s="25"/>
      <c r="B92" s="17"/>
      <c r="C92" s="17"/>
      <c r="D92" s="15"/>
      <c r="E92" s="15"/>
      <c r="G92" s="26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  <c r="CK92" s="17"/>
      <c r="CL92" s="17"/>
      <c r="CM92" s="17"/>
      <c r="CN92" s="17"/>
      <c r="CO92" s="17"/>
      <c r="CP92" s="17"/>
      <c r="CQ92" s="17"/>
      <c r="CR92" s="17"/>
      <c r="CS92" s="17"/>
      <c r="CT92" s="17"/>
      <c r="CU92" s="17"/>
      <c r="CV92" s="17"/>
      <c r="CW92" s="17"/>
      <c r="CX92" s="17"/>
      <c r="CY92" s="17"/>
      <c r="CZ92" s="17"/>
      <c r="DA92" s="17"/>
      <c r="DB92" s="17"/>
      <c r="DC92" s="17"/>
      <c r="DD92" s="17"/>
      <c r="DE92" s="17"/>
      <c r="DF92" s="17"/>
      <c r="DG92" s="17"/>
      <c r="DH92" s="17"/>
      <c r="DI92" s="17"/>
      <c r="DJ92" s="17"/>
      <c r="DK92" s="17"/>
      <c r="DL92" s="17"/>
      <c r="DM92" s="17"/>
      <c r="DN92" s="17"/>
      <c r="DO92" s="17"/>
      <c r="DP92" s="17"/>
      <c r="DQ92" s="17"/>
      <c r="DR92" s="17"/>
      <c r="DS92" s="17"/>
      <c r="DT92" s="17"/>
      <c r="DU92" s="17"/>
      <c r="DV92" s="17"/>
      <c r="DW92" s="17"/>
      <c r="DX92" s="17"/>
      <c r="DY92" s="17"/>
      <c r="DZ92" s="17"/>
      <c r="EA92" s="17"/>
      <c r="EB92" s="17"/>
      <c r="EC92" s="17"/>
      <c r="ED92" s="17"/>
      <c r="EE92" s="17"/>
      <c r="EF92" s="17"/>
      <c r="EG92" s="17"/>
      <c r="EH92" s="17"/>
      <c r="EI92" s="17"/>
      <c r="EJ92" s="17"/>
      <c r="EK92" s="17"/>
      <c r="EL92" s="17"/>
      <c r="EM92" s="17"/>
      <c r="EN92" s="17"/>
      <c r="EO92" s="17"/>
      <c r="EP92" s="17"/>
      <c r="EQ92" s="17"/>
      <c r="ER92" s="17"/>
      <c r="ES92" s="17"/>
      <c r="ET92" s="17"/>
      <c r="EU92" s="17"/>
      <c r="EV92" s="17"/>
      <c r="EW92" s="17"/>
      <c r="EX92" s="17"/>
      <c r="EY92" s="17"/>
      <c r="EZ92" s="17"/>
      <c r="FA92" s="17"/>
      <c r="FB92" s="17"/>
      <c r="FC92" s="17"/>
      <c r="FD92" s="17"/>
      <c r="FE92" s="17"/>
      <c r="FF92" s="17"/>
      <c r="FG92" s="17"/>
      <c r="FH92" s="17"/>
      <c r="FI92" s="17"/>
      <c r="FJ92" s="17"/>
      <c r="FK92" s="17"/>
      <c r="FL92" s="17"/>
      <c r="FM92" s="17"/>
      <c r="FN92" s="17"/>
      <c r="FO92" s="17"/>
      <c r="FP92" s="17"/>
      <c r="FQ92" s="17"/>
      <c r="FR92" s="17"/>
      <c r="FS92" s="17"/>
      <c r="FT92" s="17"/>
      <c r="FU92" s="17"/>
      <c r="FV92" s="17"/>
      <c r="FW92" s="17"/>
      <c r="FX92" s="17"/>
      <c r="FY92" s="17"/>
      <c r="FZ92" s="17"/>
      <c r="GA92" s="17"/>
      <c r="GB92" s="17"/>
      <c r="GC92" s="17"/>
      <c r="GD92" s="17"/>
      <c r="GE92" s="17"/>
      <c r="GF92" s="17"/>
      <c r="GG92" s="17"/>
      <c r="GH92" s="17"/>
      <c r="GI92" s="17"/>
      <c r="GJ92" s="17"/>
      <c r="GK92" s="17"/>
      <c r="GL92" s="17"/>
      <c r="GM92" s="17"/>
      <c r="GN92" s="17"/>
      <c r="GO92" s="17"/>
      <c r="GP92" s="17"/>
      <c r="GQ92" s="17"/>
      <c r="GR92" s="17"/>
      <c r="GS92" s="17"/>
      <c r="GT92" s="17"/>
      <c r="GU92" s="17"/>
      <c r="GV92" s="17"/>
      <c r="GW92" s="17"/>
      <c r="GX92" s="17"/>
      <c r="GY92" s="17"/>
      <c r="GZ92" s="17"/>
      <c r="HA92" s="17"/>
      <c r="HB92" s="17"/>
      <c r="HC92" s="17"/>
      <c r="HD92" s="17"/>
      <c r="HE92" s="17"/>
      <c r="HF92" s="17"/>
      <c r="HG92" s="17"/>
      <c r="HH92" s="17"/>
      <c r="HI92" s="17"/>
      <c r="HJ92" s="17"/>
      <c r="HK92" s="17"/>
      <c r="HL92" s="17"/>
      <c r="HM92" s="17"/>
      <c r="HN92" s="17"/>
      <c r="HO92" s="17"/>
      <c r="HP92" s="17"/>
      <c r="HQ92" s="17"/>
      <c r="HR92" s="17"/>
      <c r="HS92" s="17"/>
      <c r="HT92" s="17"/>
      <c r="HU92" s="17"/>
      <c r="HV92" s="17"/>
      <c r="HW92" s="17"/>
      <c r="HX92" s="17"/>
      <c r="HY92" s="17"/>
      <c r="HZ92" s="17"/>
      <c r="IA92" s="17"/>
      <c r="IB92" s="17"/>
      <c r="IC92" s="17"/>
      <c r="ID92" s="17"/>
      <c r="IE92" s="17"/>
      <c r="IF92" s="17"/>
      <c r="IG92" s="17"/>
      <c r="IH92" s="17"/>
      <c r="II92" s="17"/>
      <c r="IJ92" s="17"/>
      <c r="IK92" s="17"/>
      <c r="IL92" s="17"/>
      <c r="IM92" s="17"/>
    </row>
    <row r="93" spans="1:247" s="28" customFormat="1" x14ac:dyDescent="0.25">
      <c r="A93" s="25"/>
      <c r="B93" s="17"/>
      <c r="C93" s="17"/>
      <c r="D93" s="15"/>
      <c r="E93" s="15"/>
      <c r="G93" s="26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  <c r="CK93" s="17"/>
      <c r="CL93" s="17"/>
      <c r="CM93" s="17"/>
      <c r="CN93" s="17"/>
      <c r="CO93" s="17"/>
      <c r="CP93" s="17"/>
      <c r="CQ93" s="17"/>
      <c r="CR93" s="17"/>
      <c r="CS93" s="17"/>
      <c r="CT93" s="17"/>
      <c r="CU93" s="17"/>
      <c r="CV93" s="17"/>
      <c r="CW93" s="17"/>
      <c r="CX93" s="17"/>
      <c r="CY93" s="17"/>
      <c r="CZ93" s="17"/>
      <c r="DA93" s="17"/>
      <c r="DB93" s="17"/>
      <c r="DC93" s="17"/>
      <c r="DD93" s="17"/>
      <c r="DE93" s="17"/>
      <c r="DF93" s="17"/>
      <c r="DG93" s="17"/>
      <c r="DH93" s="17"/>
      <c r="DI93" s="17"/>
      <c r="DJ93" s="17"/>
      <c r="DK93" s="17"/>
      <c r="DL93" s="17"/>
      <c r="DM93" s="17"/>
      <c r="DN93" s="17"/>
      <c r="DO93" s="17"/>
      <c r="DP93" s="17"/>
      <c r="DQ93" s="17"/>
      <c r="DR93" s="17"/>
      <c r="DS93" s="17"/>
      <c r="DT93" s="17"/>
      <c r="DU93" s="17"/>
      <c r="DV93" s="17"/>
      <c r="DW93" s="17"/>
      <c r="DX93" s="17"/>
      <c r="DY93" s="17"/>
      <c r="DZ93" s="17"/>
      <c r="EA93" s="17"/>
      <c r="EB93" s="17"/>
      <c r="EC93" s="17"/>
      <c r="ED93" s="17"/>
      <c r="EE93" s="17"/>
      <c r="EF93" s="17"/>
      <c r="EG93" s="17"/>
      <c r="EH93" s="17"/>
      <c r="EI93" s="17"/>
      <c r="EJ93" s="17"/>
      <c r="EK93" s="17"/>
      <c r="EL93" s="17"/>
      <c r="EM93" s="17"/>
      <c r="EN93" s="17"/>
      <c r="EO93" s="17"/>
      <c r="EP93" s="17"/>
      <c r="EQ93" s="17"/>
      <c r="ER93" s="17"/>
      <c r="ES93" s="17"/>
      <c r="ET93" s="17"/>
      <c r="EU93" s="17"/>
      <c r="EV93" s="17"/>
      <c r="EW93" s="17"/>
      <c r="EX93" s="17"/>
      <c r="EY93" s="17"/>
      <c r="EZ93" s="17"/>
      <c r="FA93" s="17"/>
      <c r="FB93" s="17"/>
      <c r="FC93" s="17"/>
      <c r="FD93" s="17"/>
      <c r="FE93" s="17"/>
      <c r="FF93" s="17"/>
      <c r="FG93" s="17"/>
      <c r="FH93" s="17"/>
      <c r="FI93" s="17"/>
      <c r="FJ93" s="17"/>
      <c r="FK93" s="17"/>
      <c r="FL93" s="17"/>
      <c r="FM93" s="17"/>
      <c r="FN93" s="17"/>
      <c r="FO93" s="17"/>
      <c r="FP93" s="17"/>
      <c r="FQ93" s="17"/>
      <c r="FR93" s="17"/>
      <c r="FS93" s="17"/>
      <c r="FT93" s="17"/>
      <c r="FU93" s="17"/>
      <c r="FV93" s="17"/>
      <c r="FW93" s="17"/>
      <c r="FX93" s="17"/>
      <c r="FY93" s="17"/>
      <c r="FZ93" s="17"/>
      <c r="GA93" s="17"/>
      <c r="GB93" s="17"/>
      <c r="GC93" s="17"/>
      <c r="GD93" s="17"/>
      <c r="GE93" s="17"/>
      <c r="GF93" s="17"/>
      <c r="GG93" s="17"/>
      <c r="GH93" s="17"/>
      <c r="GI93" s="17"/>
      <c r="GJ93" s="17"/>
      <c r="GK93" s="17"/>
      <c r="GL93" s="17"/>
      <c r="GM93" s="17"/>
      <c r="GN93" s="17"/>
      <c r="GO93" s="17"/>
      <c r="GP93" s="17"/>
      <c r="GQ93" s="17"/>
      <c r="GR93" s="17"/>
      <c r="GS93" s="17"/>
      <c r="GT93" s="17"/>
      <c r="GU93" s="17"/>
      <c r="GV93" s="17"/>
      <c r="GW93" s="17"/>
      <c r="GX93" s="17"/>
      <c r="GY93" s="17"/>
      <c r="GZ93" s="17"/>
      <c r="HA93" s="17"/>
      <c r="HB93" s="17"/>
      <c r="HC93" s="17"/>
      <c r="HD93" s="17"/>
      <c r="HE93" s="17"/>
      <c r="HF93" s="17"/>
      <c r="HG93" s="17"/>
      <c r="HH93" s="17"/>
      <c r="HI93" s="17"/>
      <c r="HJ93" s="17"/>
      <c r="HK93" s="17"/>
      <c r="HL93" s="17"/>
      <c r="HM93" s="17"/>
      <c r="HN93" s="17"/>
      <c r="HO93" s="17"/>
      <c r="HP93" s="17"/>
      <c r="HQ93" s="17"/>
      <c r="HR93" s="17"/>
      <c r="HS93" s="17"/>
      <c r="HT93" s="17"/>
      <c r="HU93" s="17"/>
      <c r="HV93" s="17"/>
      <c r="HW93" s="17"/>
      <c r="HX93" s="17"/>
      <c r="HY93" s="17"/>
      <c r="HZ93" s="17"/>
      <c r="IA93" s="17"/>
      <c r="IB93" s="17"/>
      <c r="IC93" s="17"/>
      <c r="ID93" s="17"/>
      <c r="IE93" s="17"/>
      <c r="IF93" s="17"/>
      <c r="IG93" s="17"/>
      <c r="IH93" s="17"/>
      <c r="II93" s="17"/>
      <c r="IJ93" s="17"/>
      <c r="IK93" s="17"/>
      <c r="IL93" s="17"/>
      <c r="IM93" s="17"/>
    </row>
    <row r="94" spans="1:247" s="28" customFormat="1" x14ac:dyDescent="0.25">
      <c r="A94" s="25"/>
      <c r="B94" s="17"/>
      <c r="C94" s="17"/>
      <c r="D94" s="15"/>
      <c r="E94" s="15"/>
      <c r="G94" s="26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  <c r="CK94" s="17"/>
      <c r="CL94" s="17"/>
      <c r="CM94" s="17"/>
      <c r="CN94" s="17"/>
      <c r="CO94" s="17"/>
      <c r="CP94" s="17"/>
      <c r="CQ94" s="17"/>
      <c r="CR94" s="17"/>
      <c r="CS94" s="17"/>
      <c r="CT94" s="17"/>
      <c r="CU94" s="17"/>
      <c r="CV94" s="17"/>
      <c r="CW94" s="17"/>
      <c r="CX94" s="17"/>
      <c r="CY94" s="17"/>
      <c r="CZ94" s="17"/>
      <c r="DA94" s="17"/>
      <c r="DB94" s="17"/>
      <c r="DC94" s="17"/>
      <c r="DD94" s="17"/>
      <c r="DE94" s="17"/>
      <c r="DF94" s="17"/>
      <c r="DG94" s="17"/>
      <c r="DH94" s="17"/>
      <c r="DI94" s="17"/>
      <c r="DJ94" s="17"/>
      <c r="DK94" s="17"/>
      <c r="DL94" s="17"/>
      <c r="DM94" s="17"/>
      <c r="DN94" s="17"/>
      <c r="DO94" s="17"/>
      <c r="DP94" s="17"/>
      <c r="DQ94" s="17"/>
      <c r="DR94" s="17"/>
      <c r="DS94" s="17"/>
      <c r="DT94" s="17"/>
      <c r="DU94" s="17"/>
      <c r="DV94" s="17"/>
      <c r="DW94" s="17"/>
      <c r="DX94" s="17"/>
      <c r="DY94" s="17"/>
      <c r="DZ94" s="17"/>
      <c r="EA94" s="17"/>
      <c r="EB94" s="17"/>
      <c r="EC94" s="17"/>
      <c r="ED94" s="17"/>
      <c r="EE94" s="17"/>
      <c r="EF94" s="17"/>
      <c r="EG94" s="17"/>
      <c r="EH94" s="17"/>
      <c r="EI94" s="17"/>
      <c r="EJ94" s="17"/>
      <c r="EK94" s="17"/>
      <c r="EL94" s="17"/>
      <c r="EM94" s="17"/>
      <c r="EN94" s="17"/>
      <c r="EO94" s="17"/>
      <c r="EP94" s="17"/>
      <c r="EQ94" s="17"/>
      <c r="ER94" s="17"/>
      <c r="ES94" s="17"/>
      <c r="ET94" s="17"/>
      <c r="EU94" s="17"/>
      <c r="EV94" s="17"/>
      <c r="EW94" s="17"/>
      <c r="EX94" s="17"/>
      <c r="EY94" s="17"/>
      <c r="EZ94" s="17"/>
      <c r="FA94" s="17"/>
      <c r="FB94" s="17"/>
      <c r="FC94" s="17"/>
      <c r="FD94" s="17"/>
      <c r="FE94" s="17"/>
      <c r="FF94" s="17"/>
      <c r="FG94" s="17"/>
      <c r="FH94" s="17"/>
      <c r="FI94" s="17"/>
      <c r="FJ94" s="17"/>
      <c r="FK94" s="17"/>
      <c r="FL94" s="17"/>
      <c r="FM94" s="17"/>
      <c r="FN94" s="17"/>
      <c r="FO94" s="17"/>
      <c r="FP94" s="17"/>
      <c r="FQ94" s="17"/>
      <c r="FR94" s="17"/>
      <c r="FS94" s="17"/>
      <c r="FT94" s="17"/>
      <c r="FU94" s="17"/>
      <c r="FV94" s="17"/>
      <c r="FW94" s="17"/>
      <c r="FX94" s="17"/>
      <c r="FY94" s="17"/>
      <c r="FZ94" s="17"/>
      <c r="GA94" s="17"/>
      <c r="GB94" s="17"/>
      <c r="GC94" s="17"/>
      <c r="GD94" s="17"/>
      <c r="GE94" s="17"/>
      <c r="GF94" s="17"/>
      <c r="GG94" s="17"/>
      <c r="GH94" s="17"/>
      <c r="GI94" s="17"/>
      <c r="GJ94" s="17"/>
      <c r="GK94" s="17"/>
      <c r="GL94" s="17"/>
      <c r="GM94" s="17"/>
      <c r="GN94" s="17"/>
      <c r="GO94" s="17"/>
      <c r="GP94" s="17"/>
      <c r="GQ94" s="17"/>
      <c r="GR94" s="17"/>
      <c r="GS94" s="17"/>
      <c r="GT94" s="17"/>
      <c r="GU94" s="17"/>
      <c r="GV94" s="17"/>
      <c r="GW94" s="17"/>
      <c r="GX94" s="17"/>
      <c r="GY94" s="17"/>
      <c r="GZ94" s="17"/>
      <c r="HA94" s="17"/>
      <c r="HB94" s="17"/>
      <c r="HC94" s="17"/>
      <c r="HD94" s="17"/>
      <c r="HE94" s="17"/>
      <c r="HF94" s="17"/>
      <c r="HG94" s="17"/>
      <c r="HH94" s="17"/>
      <c r="HI94" s="17"/>
      <c r="HJ94" s="17"/>
      <c r="HK94" s="17"/>
      <c r="HL94" s="17"/>
      <c r="HM94" s="17"/>
      <c r="HN94" s="17"/>
      <c r="HO94" s="17"/>
      <c r="HP94" s="17"/>
      <c r="HQ94" s="17"/>
      <c r="HR94" s="17"/>
      <c r="HS94" s="17"/>
      <c r="HT94" s="17"/>
      <c r="HU94" s="17"/>
      <c r="HV94" s="17"/>
      <c r="HW94" s="17"/>
      <c r="HX94" s="17"/>
      <c r="HY94" s="17"/>
      <c r="HZ94" s="17"/>
      <c r="IA94" s="17"/>
      <c r="IB94" s="17"/>
      <c r="IC94" s="17"/>
      <c r="ID94" s="17"/>
      <c r="IE94" s="17"/>
      <c r="IF94" s="17"/>
      <c r="IG94" s="17"/>
      <c r="IH94" s="17"/>
      <c r="II94" s="17"/>
      <c r="IJ94" s="17"/>
      <c r="IK94" s="17"/>
      <c r="IL94" s="17"/>
      <c r="IM94" s="17"/>
    </row>
    <row r="95" spans="1:247" s="28" customFormat="1" x14ac:dyDescent="0.25">
      <c r="A95" s="25"/>
      <c r="B95" s="17"/>
      <c r="C95" s="17"/>
      <c r="D95" s="15"/>
      <c r="E95" s="15"/>
      <c r="G95" s="26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  <c r="CK95" s="17"/>
      <c r="CL95" s="17"/>
      <c r="CM95" s="17"/>
      <c r="CN95" s="17"/>
      <c r="CO95" s="17"/>
      <c r="CP95" s="17"/>
      <c r="CQ95" s="17"/>
      <c r="CR95" s="17"/>
      <c r="CS95" s="17"/>
      <c r="CT95" s="17"/>
      <c r="CU95" s="17"/>
      <c r="CV95" s="17"/>
      <c r="CW95" s="17"/>
      <c r="CX95" s="17"/>
      <c r="CY95" s="17"/>
      <c r="CZ95" s="17"/>
      <c r="DA95" s="17"/>
      <c r="DB95" s="17"/>
      <c r="DC95" s="17"/>
      <c r="DD95" s="17"/>
      <c r="DE95" s="17"/>
      <c r="DF95" s="17"/>
      <c r="DG95" s="17"/>
      <c r="DH95" s="17"/>
      <c r="DI95" s="17"/>
      <c r="DJ95" s="17"/>
      <c r="DK95" s="17"/>
      <c r="DL95" s="17"/>
      <c r="DM95" s="17"/>
      <c r="DN95" s="17"/>
      <c r="DO95" s="17"/>
      <c r="DP95" s="17"/>
      <c r="DQ95" s="17"/>
      <c r="DR95" s="17"/>
      <c r="DS95" s="17"/>
      <c r="DT95" s="17"/>
      <c r="DU95" s="17"/>
      <c r="DV95" s="17"/>
      <c r="DW95" s="17"/>
      <c r="DX95" s="17"/>
      <c r="DY95" s="17"/>
      <c r="DZ95" s="17"/>
      <c r="EA95" s="17"/>
      <c r="EB95" s="17"/>
      <c r="EC95" s="17"/>
      <c r="ED95" s="17"/>
      <c r="EE95" s="17"/>
      <c r="EF95" s="17"/>
      <c r="EG95" s="17"/>
      <c r="EH95" s="17"/>
      <c r="EI95" s="17"/>
      <c r="EJ95" s="17"/>
      <c r="EK95" s="17"/>
      <c r="EL95" s="17"/>
      <c r="EM95" s="17"/>
      <c r="EN95" s="17"/>
      <c r="EO95" s="17"/>
      <c r="EP95" s="17"/>
      <c r="EQ95" s="17"/>
      <c r="ER95" s="17"/>
      <c r="ES95" s="17"/>
      <c r="ET95" s="17"/>
      <c r="EU95" s="17"/>
      <c r="EV95" s="17"/>
      <c r="EW95" s="17"/>
      <c r="EX95" s="17"/>
      <c r="EY95" s="17"/>
      <c r="EZ95" s="17"/>
      <c r="FA95" s="17"/>
      <c r="FB95" s="17"/>
      <c r="FC95" s="17"/>
      <c r="FD95" s="17"/>
      <c r="FE95" s="17"/>
      <c r="FF95" s="17"/>
      <c r="FG95" s="17"/>
      <c r="FH95" s="17"/>
      <c r="FI95" s="17"/>
      <c r="FJ95" s="17"/>
      <c r="FK95" s="17"/>
      <c r="FL95" s="17"/>
      <c r="FM95" s="17"/>
      <c r="FN95" s="17"/>
      <c r="FO95" s="17"/>
      <c r="FP95" s="17"/>
      <c r="FQ95" s="17"/>
      <c r="FR95" s="17"/>
      <c r="FS95" s="17"/>
      <c r="FT95" s="17"/>
      <c r="FU95" s="17"/>
      <c r="FV95" s="17"/>
      <c r="FW95" s="17"/>
      <c r="FX95" s="17"/>
      <c r="FY95" s="17"/>
      <c r="FZ95" s="17"/>
      <c r="GA95" s="17"/>
      <c r="GB95" s="17"/>
      <c r="GC95" s="17"/>
      <c r="GD95" s="17"/>
      <c r="GE95" s="17"/>
      <c r="GF95" s="17"/>
      <c r="GG95" s="17"/>
      <c r="GH95" s="17"/>
      <c r="GI95" s="17"/>
      <c r="GJ95" s="17"/>
      <c r="GK95" s="17"/>
      <c r="GL95" s="17"/>
      <c r="GM95" s="17"/>
      <c r="GN95" s="17"/>
      <c r="GO95" s="17"/>
      <c r="GP95" s="17"/>
      <c r="GQ95" s="17"/>
      <c r="GR95" s="17"/>
      <c r="GS95" s="17"/>
      <c r="GT95" s="17"/>
      <c r="GU95" s="17"/>
      <c r="GV95" s="17"/>
      <c r="GW95" s="17"/>
      <c r="GX95" s="17"/>
      <c r="GY95" s="17"/>
      <c r="GZ95" s="17"/>
      <c r="HA95" s="17"/>
      <c r="HB95" s="17"/>
      <c r="HC95" s="17"/>
      <c r="HD95" s="17"/>
      <c r="HE95" s="17"/>
      <c r="HF95" s="17"/>
      <c r="HG95" s="17"/>
      <c r="HH95" s="17"/>
      <c r="HI95" s="17"/>
      <c r="HJ95" s="17"/>
      <c r="HK95" s="17"/>
      <c r="HL95" s="17"/>
      <c r="HM95" s="17"/>
      <c r="HN95" s="17"/>
      <c r="HO95" s="17"/>
      <c r="HP95" s="17"/>
      <c r="HQ95" s="17"/>
      <c r="HR95" s="17"/>
      <c r="HS95" s="17"/>
      <c r="HT95" s="17"/>
      <c r="HU95" s="17"/>
      <c r="HV95" s="17"/>
      <c r="HW95" s="17"/>
      <c r="HX95" s="17"/>
      <c r="HY95" s="17"/>
      <c r="HZ95" s="17"/>
      <c r="IA95" s="17"/>
      <c r="IB95" s="17"/>
      <c r="IC95" s="17"/>
      <c r="ID95" s="17"/>
      <c r="IE95" s="17"/>
      <c r="IF95" s="17"/>
      <c r="IG95" s="17"/>
      <c r="IH95" s="17"/>
      <c r="II95" s="17"/>
      <c r="IJ95" s="17"/>
      <c r="IK95" s="17"/>
      <c r="IL95" s="17"/>
      <c r="IM95" s="17"/>
    </row>
    <row r="96" spans="1:247" s="28" customFormat="1" x14ac:dyDescent="0.25">
      <c r="A96" s="25"/>
      <c r="B96" s="17"/>
      <c r="C96" s="17"/>
      <c r="D96" s="15"/>
      <c r="E96" s="15"/>
      <c r="G96" s="26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  <c r="CK96" s="17"/>
      <c r="CL96" s="17"/>
      <c r="CM96" s="17"/>
      <c r="CN96" s="17"/>
      <c r="CO96" s="17"/>
      <c r="CP96" s="17"/>
      <c r="CQ96" s="17"/>
      <c r="CR96" s="17"/>
      <c r="CS96" s="17"/>
      <c r="CT96" s="17"/>
      <c r="CU96" s="17"/>
      <c r="CV96" s="17"/>
      <c r="CW96" s="17"/>
      <c r="CX96" s="17"/>
      <c r="CY96" s="17"/>
      <c r="CZ96" s="17"/>
      <c r="DA96" s="17"/>
      <c r="DB96" s="17"/>
      <c r="DC96" s="17"/>
      <c r="DD96" s="17"/>
      <c r="DE96" s="17"/>
      <c r="DF96" s="17"/>
      <c r="DG96" s="17"/>
      <c r="DH96" s="17"/>
      <c r="DI96" s="17"/>
      <c r="DJ96" s="17"/>
      <c r="DK96" s="17"/>
      <c r="DL96" s="17"/>
      <c r="DM96" s="17"/>
      <c r="DN96" s="17"/>
      <c r="DO96" s="17"/>
      <c r="DP96" s="17"/>
      <c r="DQ96" s="17"/>
      <c r="DR96" s="17"/>
      <c r="DS96" s="17"/>
      <c r="DT96" s="17"/>
      <c r="DU96" s="17"/>
      <c r="DV96" s="17"/>
      <c r="DW96" s="17"/>
      <c r="DX96" s="17"/>
      <c r="DY96" s="17"/>
      <c r="DZ96" s="17"/>
      <c r="EA96" s="17"/>
      <c r="EB96" s="17"/>
      <c r="EC96" s="17"/>
      <c r="ED96" s="17"/>
      <c r="EE96" s="17"/>
      <c r="EF96" s="17"/>
      <c r="EG96" s="17"/>
      <c r="EH96" s="17"/>
      <c r="EI96" s="17"/>
      <c r="EJ96" s="17"/>
      <c r="EK96" s="17"/>
      <c r="EL96" s="17"/>
      <c r="EM96" s="17"/>
      <c r="EN96" s="17"/>
      <c r="EO96" s="17"/>
      <c r="EP96" s="17"/>
      <c r="EQ96" s="17"/>
      <c r="ER96" s="17"/>
      <c r="ES96" s="17"/>
      <c r="ET96" s="17"/>
      <c r="EU96" s="17"/>
      <c r="EV96" s="17"/>
      <c r="EW96" s="17"/>
      <c r="EX96" s="17"/>
      <c r="EY96" s="17"/>
      <c r="EZ96" s="17"/>
      <c r="FA96" s="17"/>
      <c r="FB96" s="17"/>
      <c r="FC96" s="17"/>
      <c r="FD96" s="17"/>
      <c r="FE96" s="17"/>
      <c r="FF96" s="17"/>
      <c r="FG96" s="17"/>
      <c r="FH96" s="17"/>
      <c r="FI96" s="17"/>
      <c r="FJ96" s="17"/>
      <c r="FK96" s="17"/>
      <c r="FL96" s="17"/>
      <c r="FM96" s="17"/>
      <c r="FN96" s="17"/>
      <c r="FO96" s="17"/>
      <c r="FP96" s="17"/>
      <c r="FQ96" s="17"/>
      <c r="FR96" s="17"/>
      <c r="FS96" s="17"/>
      <c r="FT96" s="17"/>
      <c r="FU96" s="17"/>
      <c r="FV96" s="17"/>
      <c r="FW96" s="17"/>
      <c r="FX96" s="17"/>
      <c r="FY96" s="17"/>
      <c r="FZ96" s="17"/>
      <c r="GA96" s="17"/>
      <c r="GB96" s="17"/>
      <c r="GC96" s="17"/>
      <c r="GD96" s="17"/>
      <c r="GE96" s="17"/>
      <c r="GF96" s="17"/>
      <c r="GG96" s="17"/>
      <c r="GH96" s="17"/>
      <c r="GI96" s="17"/>
      <c r="GJ96" s="17"/>
      <c r="GK96" s="17"/>
      <c r="GL96" s="17"/>
      <c r="GM96" s="17"/>
      <c r="GN96" s="17"/>
      <c r="GO96" s="17"/>
      <c r="GP96" s="17"/>
      <c r="GQ96" s="17"/>
      <c r="GR96" s="17"/>
      <c r="GS96" s="17"/>
      <c r="GT96" s="17"/>
      <c r="GU96" s="17"/>
      <c r="GV96" s="17"/>
      <c r="GW96" s="17"/>
      <c r="GX96" s="17"/>
      <c r="GY96" s="17"/>
      <c r="GZ96" s="17"/>
      <c r="HA96" s="17"/>
      <c r="HB96" s="17"/>
      <c r="HC96" s="17"/>
      <c r="HD96" s="17"/>
      <c r="HE96" s="17"/>
      <c r="HF96" s="17"/>
      <c r="HG96" s="17"/>
      <c r="HH96" s="17"/>
      <c r="HI96" s="17"/>
      <c r="HJ96" s="17"/>
      <c r="HK96" s="17"/>
      <c r="HL96" s="17"/>
      <c r="HM96" s="17"/>
      <c r="HN96" s="17"/>
      <c r="HO96" s="17"/>
      <c r="HP96" s="17"/>
      <c r="HQ96" s="17"/>
      <c r="HR96" s="17"/>
      <c r="HS96" s="17"/>
      <c r="HT96" s="17"/>
      <c r="HU96" s="17"/>
      <c r="HV96" s="17"/>
      <c r="HW96" s="17"/>
      <c r="HX96" s="17"/>
      <c r="HY96" s="17"/>
      <c r="HZ96" s="17"/>
      <c r="IA96" s="17"/>
      <c r="IB96" s="17"/>
      <c r="IC96" s="17"/>
      <c r="ID96" s="17"/>
      <c r="IE96" s="17"/>
      <c r="IF96" s="17"/>
      <c r="IG96" s="17"/>
      <c r="IH96" s="17"/>
      <c r="II96" s="17"/>
      <c r="IJ96" s="17"/>
      <c r="IK96" s="17"/>
      <c r="IL96" s="17"/>
      <c r="IM96" s="17"/>
    </row>
    <row r="97" spans="1:247" s="28" customFormat="1" x14ac:dyDescent="0.25">
      <c r="A97" s="25"/>
      <c r="B97" s="17"/>
      <c r="C97" s="17"/>
      <c r="D97" s="15"/>
      <c r="E97" s="15"/>
      <c r="G97" s="26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  <c r="CK97" s="17"/>
      <c r="CL97" s="17"/>
      <c r="CM97" s="17"/>
      <c r="CN97" s="17"/>
      <c r="CO97" s="17"/>
      <c r="CP97" s="17"/>
      <c r="CQ97" s="17"/>
      <c r="CR97" s="17"/>
      <c r="CS97" s="17"/>
      <c r="CT97" s="17"/>
      <c r="CU97" s="17"/>
      <c r="CV97" s="17"/>
      <c r="CW97" s="17"/>
      <c r="CX97" s="17"/>
      <c r="CY97" s="17"/>
      <c r="CZ97" s="17"/>
      <c r="DA97" s="17"/>
      <c r="DB97" s="17"/>
      <c r="DC97" s="17"/>
      <c r="DD97" s="17"/>
      <c r="DE97" s="17"/>
      <c r="DF97" s="17"/>
      <c r="DG97" s="17"/>
      <c r="DH97" s="17"/>
      <c r="DI97" s="17"/>
      <c r="DJ97" s="17"/>
      <c r="DK97" s="17"/>
      <c r="DL97" s="17"/>
      <c r="DM97" s="17"/>
      <c r="DN97" s="17"/>
      <c r="DO97" s="17"/>
      <c r="DP97" s="17"/>
      <c r="DQ97" s="17"/>
      <c r="DR97" s="17"/>
      <c r="DS97" s="17"/>
      <c r="DT97" s="17"/>
      <c r="DU97" s="17"/>
      <c r="DV97" s="17"/>
      <c r="DW97" s="17"/>
      <c r="DX97" s="17"/>
      <c r="DY97" s="17"/>
      <c r="DZ97" s="17"/>
      <c r="EA97" s="17"/>
      <c r="EB97" s="17"/>
      <c r="EC97" s="17"/>
      <c r="ED97" s="17"/>
      <c r="EE97" s="17"/>
      <c r="EF97" s="17"/>
      <c r="EG97" s="17"/>
      <c r="EH97" s="17"/>
      <c r="EI97" s="17"/>
      <c r="EJ97" s="17"/>
      <c r="EK97" s="17"/>
      <c r="EL97" s="17"/>
      <c r="EM97" s="17"/>
      <c r="EN97" s="17"/>
      <c r="EO97" s="17"/>
      <c r="EP97" s="17"/>
      <c r="EQ97" s="17"/>
      <c r="ER97" s="17"/>
      <c r="ES97" s="17"/>
      <c r="ET97" s="17"/>
      <c r="EU97" s="17"/>
      <c r="EV97" s="17"/>
      <c r="EW97" s="17"/>
      <c r="EX97" s="17"/>
      <c r="EY97" s="17"/>
      <c r="EZ97" s="17"/>
      <c r="FA97" s="17"/>
      <c r="FB97" s="17"/>
      <c r="FC97" s="17"/>
      <c r="FD97" s="17"/>
      <c r="FE97" s="17"/>
      <c r="FF97" s="17"/>
      <c r="FG97" s="17"/>
      <c r="FH97" s="17"/>
      <c r="FI97" s="17"/>
      <c r="FJ97" s="17"/>
      <c r="FK97" s="17"/>
      <c r="FL97" s="17"/>
      <c r="FM97" s="17"/>
      <c r="FN97" s="17"/>
      <c r="FO97" s="17"/>
      <c r="FP97" s="17"/>
      <c r="FQ97" s="17"/>
      <c r="FR97" s="17"/>
      <c r="FS97" s="17"/>
      <c r="FT97" s="17"/>
      <c r="FU97" s="17"/>
      <c r="FV97" s="17"/>
      <c r="FW97" s="17"/>
      <c r="FX97" s="17"/>
      <c r="FY97" s="17"/>
      <c r="FZ97" s="17"/>
      <c r="GA97" s="17"/>
      <c r="GB97" s="17"/>
      <c r="GC97" s="17"/>
      <c r="GD97" s="17"/>
      <c r="GE97" s="17"/>
      <c r="GF97" s="17"/>
      <c r="GG97" s="17"/>
      <c r="GH97" s="17"/>
      <c r="GI97" s="17"/>
      <c r="GJ97" s="17"/>
      <c r="GK97" s="17"/>
      <c r="GL97" s="17"/>
      <c r="GM97" s="17"/>
      <c r="GN97" s="17"/>
      <c r="GO97" s="17"/>
      <c r="GP97" s="17"/>
      <c r="GQ97" s="17"/>
      <c r="GR97" s="17"/>
      <c r="GS97" s="17"/>
      <c r="GT97" s="17"/>
      <c r="GU97" s="17"/>
      <c r="GV97" s="17"/>
      <c r="GW97" s="17"/>
      <c r="GX97" s="17"/>
      <c r="GY97" s="17"/>
      <c r="GZ97" s="17"/>
      <c r="HA97" s="17"/>
      <c r="HB97" s="17"/>
      <c r="HC97" s="17"/>
      <c r="HD97" s="17"/>
      <c r="HE97" s="17"/>
      <c r="HF97" s="17"/>
      <c r="HG97" s="17"/>
      <c r="HH97" s="17"/>
      <c r="HI97" s="17"/>
      <c r="HJ97" s="17"/>
      <c r="HK97" s="17"/>
      <c r="HL97" s="17"/>
      <c r="HM97" s="17"/>
      <c r="HN97" s="17"/>
      <c r="HO97" s="17"/>
      <c r="HP97" s="17"/>
      <c r="HQ97" s="17"/>
      <c r="HR97" s="17"/>
      <c r="HS97" s="17"/>
      <c r="HT97" s="17"/>
      <c r="HU97" s="17"/>
      <c r="HV97" s="17"/>
      <c r="HW97" s="17"/>
      <c r="HX97" s="17"/>
      <c r="HY97" s="17"/>
      <c r="HZ97" s="17"/>
      <c r="IA97" s="17"/>
      <c r="IB97" s="17"/>
      <c r="IC97" s="17"/>
      <c r="ID97" s="17"/>
      <c r="IE97" s="17"/>
      <c r="IF97" s="17"/>
      <c r="IG97" s="17"/>
      <c r="IH97" s="17"/>
      <c r="II97" s="17"/>
      <c r="IJ97" s="17"/>
      <c r="IK97" s="17"/>
      <c r="IL97" s="17"/>
      <c r="IM97" s="17"/>
    </row>
    <row r="98" spans="1:247" s="28" customFormat="1" x14ac:dyDescent="0.25">
      <c r="A98" s="25"/>
      <c r="B98" s="17"/>
      <c r="C98" s="17"/>
      <c r="D98" s="15"/>
      <c r="E98" s="15"/>
      <c r="G98" s="26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  <c r="CK98" s="17"/>
      <c r="CL98" s="17"/>
      <c r="CM98" s="17"/>
      <c r="CN98" s="17"/>
      <c r="CO98" s="17"/>
      <c r="CP98" s="17"/>
      <c r="CQ98" s="17"/>
      <c r="CR98" s="17"/>
      <c r="CS98" s="17"/>
      <c r="CT98" s="17"/>
      <c r="CU98" s="17"/>
      <c r="CV98" s="17"/>
      <c r="CW98" s="17"/>
      <c r="CX98" s="17"/>
      <c r="CY98" s="17"/>
      <c r="CZ98" s="17"/>
      <c r="DA98" s="17"/>
      <c r="DB98" s="17"/>
      <c r="DC98" s="17"/>
      <c r="DD98" s="17"/>
      <c r="DE98" s="17"/>
      <c r="DF98" s="17"/>
      <c r="DG98" s="17"/>
      <c r="DH98" s="17"/>
      <c r="DI98" s="17"/>
      <c r="DJ98" s="17"/>
      <c r="DK98" s="17"/>
      <c r="DL98" s="17"/>
      <c r="DM98" s="17"/>
      <c r="DN98" s="17"/>
      <c r="DO98" s="17"/>
      <c r="DP98" s="17"/>
      <c r="DQ98" s="17"/>
      <c r="DR98" s="17"/>
      <c r="DS98" s="17"/>
      <c r="DT98" s="17"/>
      <c r="DU98" s="17"/>
      <c r="DV98" s="17"/>
      <c r="DW98" s="17"/>
      <c r="DX98" s="17"/>
      <c r="DY98" s="17"/>
      <c r="DZ98" s="17"/>
      <c r="EA98" s="17"/>
      <c r="EB98" s="17"/>
      <c r="EC98" s="17"/>
      <c r="ED98" s="17"/>
      <c r="EE98" s="17"/>
      <c r="EF98" s="17"/>
      <c r="EG98" s="17"/>
      <c r="EH98" s="17"/>
      <c r="EI98" s="17"/>
      <c r="EJ98" s="17"/>
      <c r="EK98" s="17"/>
      <c r="EL98" s="17"/>
      <c r="EM98" s="17"/>
      <c r="EN98" s="17"/>
      <c r="EO98" s="17"/>
      <c r="EP98" s="17"/>
      <c r="EQ98" s="17"/>
      <c r="ER98" s="17"/>
      <c r="ES98" s="17"/>
      <c r="ET98" s="17"/>
      <c r="EU98" s="17"/>
      <c r="EV98" s="17"/>
      <c r="EW98" s="17"/>
      <c r="EX98" s="17"/>
      <c r="EY98" s="17"/>
      <c r="EZ98" s="17"/>
      <c r="FA98" s="17"/>
      <c r="FB98" s="17"/>
      <c r="FC98" s="17"/>
      <c r="FD98" s="17"/>
      <c r="FE98" s="17"/>
      <c r="FF98" s="17"/>
      <c r="FG98" s="17"/>
      <c r="FH98" s="17"/>
      <c r="FI98" s="17"/>
      <c r="FJ98" s="17"/>
      <c r="FK98" s="17"/>
      <c r="FL98" s="17"/>
      <c r="FM98" s="17"/>
      <c r="FN98" s="17"/>
      <c r="FO98" s="17"/>
      <c r="FP98" s="17"/>
      <c r="FQ98" s="17"/>
      <c r="FR98" s="17"/>
      <c r="FS98" s="17"/>
      <c r="FT98" s="17"/>
      <c r="FU98" s="17"/>
      <c r="FV98" s="17"/>
      <c r="FW98" s="17"/>
      <c r="FX98" s="17"/>
      <c r="FY98" s="17"/>
      <c r="FZ98" s="17"/>
      <c r="GA98" s="17"/>
      <c r="GB98" s="17"/>
      <c r="GC98" s="17"/>
      <c r="GD98" s="17"/>
      <c r="GE98" s="17"/>
      <c r="GF98" s="17"/>
      <c r="GG98" s="17"/>
      <c r="GH98" s="17"/>
      <c r="GI98" s="17"/>
      <c r="GJ98" s="17"/>
      <c r="GK98" s="17"/>
      <c r="GL98" s="17"/>
      <c r="GM98" s="17"/>
      <c r="GN98" s="17"/>
      <c r="GO98" s="17"/>
      <c r="GP98" s="17"/>
      <c r="GQ98" s="17"/>
      <c r="GR98" s="17"/>
      <c r="GS98" s="17"/>
      <c r="GT98" s="17"/>
      <c r="GU98" s="17"/>
      <c r="GV98" s="17"/>
      <c r="GW98" s="17"/>
      <c r="GX98" s="17"/>
      <c r="GY98" s="17"/>
      <c r="GZ98" s="17"/>
      <c r="HA98" s="17"/>
      <c r="HB98" s="17"/>
      <c r="HC98" s="17"/>
      <c r="HD98" s="17"/>
      <c r="HE98" s="17"/>
      <c r="HF98" s="17"/>
      <c r="HG98" s="17"/>
      <c r="HH98" s="17"/>
      <c r="HI98" s="17"/>
      <c r="HJ98" s="17"/>
      <c r="HK98" s="17"/>
      <c r="HL98" s="17"/>
      <c r="HM98" s="17"/>
      <c r="HN98" s="17"/>
      <c r="HO98" s="17"/>
      <c r="HP98" s="17"/>
      <c r="HQ98" s="17"/>
      <c r="HR98" s="17"/>
      <c r="HS98" s="17"/>
      <c r="HT98" s="17"/>
      <c r="HU98" s="17"/>
      <c r="HV98" s="17"/>
      <c r="HW98" s="17"/>
      <c r="HX98" s="17"/>
      <c r="HY98" s="17"/>
      <c r="HZ98" s="17"/>
      <c r="IA98" s="17"/>
      <c r="IB98" s="17"/>
      <c r="IC98" s="17"/>
      <c r="ID98" s="17"/>
      <c r="IE98" s="17"/>
      <c r="IF98" s="17"/>
      <c r="IG98" s="17"/>
      <c r="IH98" s="17"/>
      <c r="II98" s="17"/>
      <c r="IJ98" s="17"/>
      <c r="IK98" s="17"/>
      <c r="IL98" s="17"/>
      <c r="IM98" s="17"/>
    </row>
    <row r="99" spans="1:247" s="28" customFormat="1" x14ac:dyDescent="0.25">
      <c r="A99" s="25"/>
      <c r="B99" s="17"/>
      <c r="C99" s="17"/>
      <c r="D99" s="15"/>
      <c r="E99" s="15"/>
      <c r="G99" s="26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  <c r="BV99" s="17"/>
      <c r="BW99" s="17"/>
      <c r="BX99" s="17"/>
      <c r="BY99" s="17"/>
      <c r="BZ99" s="17"/>
      <c r="CA99" s="17"/>
      <c r="CB99" s="17"/>
      <c r="CC99" s="17"/>
      <c r="CD99" s="17"/>
      <c r="CE99" s="17"/>
      <c r="CF99" s="17"/>
      <c r="CG99" s="17"/>
      <c r="CH99" s="17"/>
      <c r="CI99" s="17"/>
      <c r="CJ99" s="17"/>
      <c r="CK99" s="17"/>
      <c r="CL99" s="17"/>
      <c r="CM99" s="17"/>
      <c r="CN99" s="17"/>
      <c r="CO99" s="17"/>
      <c r="CP99" s="17"/>
      <c r="CQ99" s="17"/>
      <c r="CR99" s="17"/>
      <c r="CS99" s="17"/>
      <c r="CT99" s="17"/>
      <c r="CU99" s="17"/>
      <c r="CV99" s="17"/>
      <c r="CW99" s="17"/>
      <c r="CX99" s="17"/>
      <c r="CY99" s="17"/>
      <c r="CZ99" s="17"/>
      <c r="DA99" s="17"/>
      <c r="DB99" s="17"/>
      <c r="DC99" s="17"/>
      <c r="DD99" s="17"/>
      <c r="DE99" s="17"/>
      <c r="DF99" s="17"/>
      <c r="DG99" s="17"/>
      <c r="DH99" s="17"/>
      <c r="DI99" s="17"/>
      <c r="DJ99" s="17"/>
      <c r="DK99" s="17"/>
      <c r="DL99" s="17"/>
      <c r="DM99" s="17"/>
      <c r="DN99" s="17"/>
      <c r="DO99" s="17"/>
      <c r="DP99" s="17"/>
      <c r="DQ99" s="17"/>
      <c r="DR99" s="17"/>
      <c r="DS99" s="17"/>
      <c r="DT99" s="17"/>
      <c r="DU99" s="17"/>
      <c r="DV99" s="17"/>
      <c r="DW99" s="17"/>
      <c r="DX99" s="17"/>
      <c r="DY99" s="17"/>
      <c r="DZ99" s="17"/>
      <c r="EA99" s="17"/>
      <c r="EB99" s="17"/>
      <c r="EC99" s="17"/>
      <c r="ED99" s="17"/>
      <c r="EE99" s="17"/>
      <c r="EF99" s="17"/>
      <c r="EG99" s="17"/>
      <c r="EH99" s="17"/>
      <c r="EI99" s="17"/>
      <c r="EJ99" s="17"/>
      <c r="EK99" s="17"/>
      <c r="EL99" s="17"/>
      <c r="EM99" s="17"/>
      <c r="EN99" s="17"/>
      <c r="EO99" s="17"/>
      <c r="EP99" s="17"/>
      <c r="EQ99" s="17"/>
      <c r="ER99" s="17"/>
      <c r="ES99" s="17"/>
      <c r="ET99" s="17"/>
      <c r="EU99" s="17"/>
      <c r="EV99" s="17"/>
      <c r="EW99" s="17"/>
      <c r="EX99" s="17"/>
      <c r="EY99" s="17"/>
      <c r="EZ99" s="17"/>
      <c r="FA99" s="17"/>
      <c r="FB99" s="17"/>
      <c r="FC99" s="17"/>
      <c r="FD99" s="17"/>
      <c r="FE99" s="17"/>
      <c r="FF99" s="17"/>
      <c r="FG99" s="17"/>
      <c r="FH99" s="17"/>
      <c r="FI99" s="17"/>
      <c r="FJ99" s="17"/>
      <c r="FK99" s="17"/>
      <c r="FL99" s="17"/>
      <c r="FM99" s="17"/>
      <c r="FN99" s="17"/>
      <c r="FO99" s="17"/>
      <c r="FP99" s="17"/>
      <c r="FQ99" s="17"/>
      <c r="FR99" s="17"/>
      <c r="FS99" s="17"/>
      <c r="FT99" s="17"/>
      <c r="FU99" s="17"/>
      <c r="FV99" s="17"/>
      <c r="FW99" s="17"/>
      <c r="FX99" s="17"/>
      <c r="FY99" s="17"/>
      <c r="FZ99" s="17"/>
      <c r="GA99" s="17"/>
      <c r="GB99" s="17"/>
      <c r="GC99" s="17"/>
      <c r="GD99" s="17"/>
      <c r="GE99" s="17"/>
      <c r="GF99" s="17"/>
      <c r="GG99" s="17"/>
      <c r="GH99" s="17"/>
      <c r="GI99" s="17"/>
      <c r="GJ99" s="17"/>
      <c r="GK99" s="17"/>
      <c r="GL99" s="17"/>
      <c r="GM99" s="17"/>
      <c r="GN99" s="17"/>
      <c r="GO99" s="17"/>
      <c r="GP99" s="17"/>
      <c r="GQ99" s="17"/>
      <c r="GR99" s="17"/>
      <c r="GS99" s="17"/>
      <c r="GT99" s="17"/>
      <c r="GU99" s="17"/>
      <c r="GV99" s="17"/>
      <c r="GW99" s="17"/>
      <c r="GX99" s="17"/>
      <c r="GY99" s="17"/>
      <c r="GZ99" s="17"/>
      <c r="HA99" s="17"/>
      <c r="HB99" s="17"/>
      <c r="HC99" s="17"/>
      <c r="HD99" s="17"/>
      <c r="HE99" s="17"/>
      <c r="HF99" s="17"/>
      <c r="HG99" s="17"/>
      <c r="HH99" s="17"/>
      <c r="HI99" s="17"/>
      <c r="HJ99" s="17"/>
      <c r="HK99" s="17"/>
      <c r="HL99" s="17"/>
      <c r="HM99" s="17"/>
      <c r="HN99" s="17"/>
      <c r="HO99" s="17"/>
      <c r="HP99" s="17"/>
      <c r="HQ99" s="17"/>
      <c r="HR99" s="17"/>
      <c r="HS99" s="17"/>
      <c r="HT99" s="17"/>
      <c r="HU99" s="17"/>
      <c r="HV99" s="17"/>
      <c r="HW99" s="17"/>
      <c r="HX99" s="17"/>
      <c r="HY99" s="17"/>
      <c r="HZ99" s="17"/>
      <c r="IA99" s="17"/>
      <c r="IB99" s="17"/>
      <c r="IC99" s="17"/>
      <c r="ID99" s="17"/>
      <c r="IE99" s="17"/>
      <c r="IF99" s="17"/>
      <c r="IG99" s="17"/>
      <c r="IH99" s="17"/>
      <c r="II99" s="17"/>
      <c r="IJ99" s="17"/>
      <c r="IK99" s="17"/>
      <c r="IL99" s="17"/>
      <c r="IM99" s="17"/>
    </row>
    <row r="100" spans="1:247" s="28" customFormat="1" x14ac:dyDescent="0.25">
      <c r="A100" s="25"/>
      <c r="B100" s="17"/>
      <c r="C100" s="17"/>
      <c r="D100" s="15"/>
      <c r="E100" s="15"/>
      <c r="G100" s="26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  <c r="BW100" s="17"/>
      <c r="BX100" s="17"/>
      <c r="BY100" s="17"/>
      <c r="BZ100" s="17"/>
      <c r="CA100" s="17"/>
      <c r="CB100" s="17"/>
      <c r="CC100" s="17"/>
      <c r="CD100" s="17"/>
      <c r="CE100" s="17"/>
      <c r="CF100" s="17"/>
      <c r="CG100" s="17"/>
      <c r="CH100" s="17"/>
      <c r="CI100" s="17"/>
      <c r="CJ100" s="17"/>
      <c r="CK100" s="17"/>
      <c r="CL100" s="17"/>
      <c r="CM100" s="17"/>
      <c r="CN100" s="17"/>
      <c r="CO100" s="17"/>
      <c r="CP100" s="17"/>
      <c r="CQ100" s="17"/>
      <c r="CR100" s="17"/>
      <c r="CS100" s="17"/>
      <c r="CT100" s="17"/>
      <c r="CU100" s="17"/>
      <c r="CV100" s="17"/>
      <c r="CW100" s="17"/>
      <c r="CX100" s="17"/>
      <c r="CY100" s="17"/>
      <c r="CZ100" s="17"/>
      <c r="DA100" s="17"/>
      <c r="DB100" s="17"/>
      <c r="DC100" s="17"/>
      <c r="DD100" s="17"/>
      <c r="DE100" s="17"/>
      <c r="DF100" s="17"/>
      <c r="DG100" s="17"/>
      <c r="DH100" s="17"/>
      <c r="DI100" s="17"/>
      <c r="DJ100" s="17"/>
      <c r="DK100" s="17"/>
      <c r="DL100" s="17"/>
      <c r="DM100" s="17"/>
      <c r="DN100" s="17"/>
      <c r="DO100" s="17"/>
      <c r="DP100" s="17"/>
      <c r="DQ100" s="17"/>
      <c r="DR100" s="17"/>
      <c r="DS100" s="17"/>
      <c r="DT100" s="17"/>
      <c r="DU100" s="17"/>
      <c r="DV100" s="17"/>
      <c r="DW100" s="17"/>
      <c r="DX100" s="17"/>
      <c r="DY100" s="17"/>
      <c r="DZ100" s="17"/>
      <c r="EA100" s="17"/>
      <c r="EB100" s="17"/>
      <c r="EC100" s="17"/>
      <c r="ED100" s="17"/>
      <c r="EE100" s="17"/>
      <c r="EF100" s="17"/>
      <c r="EG100" s="17"/>
      <c r="EH100" s="17"/>
      <c r="EI100" s="17"/>
      <c r="EJ100" s="17"/>
      <c r="EK100" s="17"/>
      <c r="EL100" s="17"/>
      <c r="EM100" s="17"/>
      <c r="EN100" s="17"/>
      <c r="EO100" s="17"/>
      <c r="EP100" s="17"/>
      <c r="EQ100" s="17"/>
      <c r="ER100" s="17"/>
      <c r="ES100" s="17"/>
      <c r="ET100" s="17"/>
      <c r="EU100" s="17"/>
      <c r="EV100" s="17"/>
      <c r="EW100" s="17"/>
      <c r="EX100" s="17"/>
      <c r="EY100" s="17"/>
      <c r="EZ100" s="17"/>
      <c r="FA100" s="17"/>
      <c r="FB100" s="17"/>
      <c r="FC100" s="17"/>
      <c r="FD100" s="17"/>
      <c r="FE100" s="17"/>
      <c r="FF100" s="17"/>
      <c r="FG100" s="17"/>
      <c r="FH100" s="17"/>
      <c r="FI100" s="17"/>
      <c r="FJ100" s="17"/>
      <c r="FK100" s="17"/>
      <c r="FL100" s="17"/>
      <c r="FM100" s="17"/>
      <c r="FN100" s="17"/>
      <c r="FO100" s="17"/>
      <c r="FP100" s="17"/>
      <c r="FQ100" s="17"/>
      <c r="FR100" s="17"/>
      <c r="FS100" s="17"/>
      <c r="FT100" s="17"/>
      <c r="FU100" s="17"/>
      <c r="FV100" s="17"/>
      <c r="FW100" s="17"/>
      <c r="FX100" s="17"/>
      <c r="FY100" s="17"/>
      <c r="FZ100" s="17"/>
      <c r="GA100" s="17"/>
      <c r="GB100" s="17"/>
      <c r="GC100" s="17"/>
      <c r="GD100" s="17"/>
      <c r="GE100" s="17"/>
      <c r="GF100" s="17"/>
      <c r="GG100" s="17"/>
      <c r="GH100" s="17"/>
      <c r="GI100" s="17"/>
      <c r="GJ100" s="17"/>
      <c r="GK100" s="17"/>
      <c r="GL100" s="17"/>
      <c r="GM100" s="17"/>
      <c r="GN100" s="17"/>
      <c r="GO100" s="17"/>
      <c r="GP100" s="17"/>
      <c r="GQ100" s="17"/>
      <c r="GR100" s="17"/>
      <c r="GS100" s="17"/>
      <c r="GT100" s="17"/>
      <c r="GU100" s="17"/>
      <c r="GV100" s="17"/>
      <c r="GW100" s="17"/>
      <c r="GX100" s="17"/>
      <c r="GY100" s="17"/>
      <c r="GZ100" s="17"/>
      <c r="HA100" s="17"/>
      <c r="HB100" s="17"/>
      <c r="HC100" s="17"/>
      <c r="HD100" s="17"/>
      <c r="HE100" s="17"/>
      <c r="HF100" s="17"/>
      <c r="HG100" s="17"/>
      <c r="HH100" s="17"/>
      <c r="HI100" s="17"/>
      <c r="HJ100" s="17"/>
      <c r="HK100" s="17"/>
      <c r="HL100" s="17"/>
      <c r="HM100" s="17"/>
      <c r="HN100" s="17"/>
      <c r="HO100" s="17"/>
      <c r="HP100" s="17"/>
      <c r="HQ100" s="17"/>
      <c r="HR100" s="17"/>
      <c r="HS100" s="17"/>
      <c r="HT100" s="17"/>
      <c r="HU100" s="17"/>
      <c r="HV100" s="17"/>
      <c r="HW100" s="17"/>
      <c r="HX100" s="17"/>
      <c r="HY100" s="17"/>
      <c r="HZ100" s="17"/>
      <c r="IA100" s="17"/>
      <c r="IB100" s="17"/>
      <c r="IC100" s="17"/>
      <c r="ID100" s="17"/>
      <c r="IE100" s="17"/>
      <c r="IF100" s="17"/>
      <c r="IG100" s="17"/>
      <c r="IH100" s="17"/>
      <c r="II100" s="17"/>
      <c r="IJ100" s="17"/>
      <c r="IK100" s="17"/>
      <c r="IL100" s="17"/>
      <c r="IM100" s="17"/>
    </row>
  </sheetData>
  <mergeCells count="58">
    <mergeCell ref="H51:H52"/>
    <mergeCell ref="F53:F54"/>
    <mergeCell ref="G53:G54"/>
    <mergeCell ref="A1:O1"/>
    <mergeCell ref="A3:O3"/>
    <mergeCell ref="A16:O16"/>
    <mergeCell ref="B4:C4"/>
    <mergeCell ref="D4:E4"/>
    <mergeCell ref="F4:H4"/>
    <mergeCell ref="I4:L4"/>
    <mergeCell ref="A55:A56"/>
    <mergeCell ref="A36:O36"/>
    <mergeCell ref="A41:A42"/>
    <mergeCell ref="A43:A44"/>
    <mergeCell ref="A47:A48"/>
    <mergeCell ref="A45:A46"/>
    <mergeCell ref="A49:A50"/>
    <mergeCell ref="A51:A52"/>
    <mergeCell ref="A53:A54"/>
    <mergeCell ref="F47:F48"/>
    <mergeCell ref="G47:G48"/>
    <mergeCell ref="H47:H48"/>
    <mergeCell ref="F49:F50"/>
    <mergeCell ref="G49:G50"/>
    <mergeCell ref="H49:H50"/>
    <mergeCell ref="F51:F52"/>
    <mergeCell ref="F55:F56"/>
    <mergeCell ref="G55:G56"/>
    <mergeCell ref="H55:H56"/>
    <mergeCell ref="P4:P6"/>
    <mergeCell ref="F41:F42"/>
    <mergeCell ref="G41:G42"/>
    <mergeCell ref="H41:H42"/>
    <mergeCell ref="F43:F44"/>
    <mergeCell ref="G43:G44"/>
    <mergeCell ref="H43:H44"/>
    <mergeCell ref="P43:P44"/>
    <mergeCell ref="P47:P48"/>
    <mergeCell ref="P49:P50"/>
    <mergeCell ref="P51:P52"/>
    <mergeCell ref="P53:P54"/>
    <mergeCell ref="P55:P56"/>
    <mergeCell ref="A17:A19"/>
    <mergeCell ref="P17:P19"/>
    <mergeCell ref="A38:A40"/>
    <mergeCell ref="P38:P40"/>
    <mergeCell ref="H53:H54"/>
    <mergeCell ref="B17:C17"/>
    <mergeCell ref="D17:E17"/>
    <mergeCell ref="F17:H17"/>
    <mergeCell ref="I17:L17"/>
    <mergeCell ref="P41:P42"/>
    <mergeCell ref="B38:C38"/>
    <mergeCell ref="D38:E38"/>
    <mergeCell ref="F38:H38"/>
    <mergeCell ref="I38:L38"/>
    <mergeCell ref="P45:P46"/>
    <mergeCell ref="G51:G5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2"/>
  <sheetViews>
    <sheetView tabSelected="1" topLeftCell="E48" zoomScale="95" zoomScaleNormal="95" workbookViewId="0">
      <selection activeCell="Z57" sqref="Z57"/>
    </sheetView>
  </sheetViews>
  <sheetFormatPr defaultRowHeight="15.75" x14ac:dyDescent="0.25"/>
  <cols>
    <col min="1" max="1" width="15.25" style="43" customWidth="1"/>
    <col min="2" max="2" width="21.25" style="7" customWidth="1"/>
    <col min="3" max="3" width="23.625" style="7" customWidth="1"/>
    <col min="4" max="4" width="25.125" style="7" customWidth="1"/>
    <col min="5" max="5" width="10.25" style="7" customWidth="1"/>
    <col min="6" max="15" width="9" style="7"/>
    <col min="16" max="16" width="14.5" style="7" customWidth="1"/>
    <col min="17" max="17" width="16.5" style="7" customWidth="1"/>
    <col min="18" max="18" width="22.25" style="7" customWidth="1"/>
    <col min="19" max="19" width="16.5" style="7" customWidth="1"/>
    <col min="20" max="20" width="21.875" style="7" customWidth="1"/>
    <col min="21" max="16384" width="9" style="7"/>
  </cols>
  <sheetData>
    <row r="1" spans="1:20" x14ac:dyDescent="0.25">
      <c r="A1" s="192" t="s">
        <v>110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</row>
    <row r="3" spans="1:20" ht="14.25" customHeight="1" x14ac:dyDescent="0.25">
      <c r="A3" s="199"/>
      <c r="B3" s="199"/>
      <c r="P3" s="193" t="s">
        <v>112</v>
      </c>
      <c r="Q3" s="193"/>
      <c r="R3" s="193"/>
    </row>
    <row r="4" spans="1:20" ht="14.25" customHeight="1" x14ac:dyDescent="0.25">
      <c r="A4" s="87" t="s">
        <v>131</v>
      </c>
      <c r="B4" s="136" t="s">
        <v>155</v>
      </c>
      <c r="C4" s="136" t="s">
        <v>154</v>
      </c>
      <c r="D4" s="136" t="s">
        <v>121</v>
      </c>
      <c r="E4" s="136" t="s">
        <v>132</v>
      </c>
      <c r="I4" s="194"/>
      <c r="J4" s="194"/>
      <c r="K4" s="194"/>
      <c r="L4" s="82"/>
      <c r="M4" s="82"/>
      <c r="N4" s="82"/>
      <c r="P4" s="87" t="s">
        <v>131</v>
      </c>
      <c r="Q4" s="87" t="s">
        <v>133</v>
      </c>
      <c r="R4" s="88" t="s">
        <v>155</v>
      </c>
      <c r="S4" s="35"/>
    </row>
    <row r="5" spans="1:20" ht="14.25" customHeight="1" x14ac:dyDescent="0.25">
      <c r="A5" s="137" t="s">
        <v>90</v>
      </c>
      <c r="B5" s="116">
        <v>11.71</v>
      </c>
      <c r="C5" s="119">
        <v>17.100000000000001</v>
      </c>
      <c r="D5" s="119">
        <v>58.000408163265305</v>
      </c>
      <c r="E5" s="79">
        <f>D5/C5</f>
        <v>3.3918367346938774</v>
      </c>
      <c r="I5" s="195"/>
      <c r="J5" s="70"/>
      <c r="K5" s="70"/>
      <c r="L5" s="81"/>
      <c r="M5" s="81"/>
      <c r="N5" s="81"/>
      <c r="P5" s="144" t="s">
        <v>90</v>
      </c>
      <c r="Q5" s="119">
        <v>0.76800000000000002</v>
      </c>
      <c r="R5" s="119">
        <v>11.71</v>
      </c>
    </row>
    <row r="6" spans="1:20" x14ac:dyDescent="0.25">
      <c r="A6" s="137" t="s">
        <v>123</v>
      </c>
      <c r="B6" s="119">
        <v>6.4</v>
      </c>
      <c r="C6" s="119">
        <v>17.100000000000001</v>
      </c>
      <c r="D6" s="119">
        <v>72.28636363636366</v>
      </c>
      <c r="E6" s="79">
        <f t="shared" ref="E6:E12" si="0">D6/C6</f>
        <v>4.2272727272727284</v>
      </c>
      <c r="I6" s="195"/>
      <c r="J6" s="70"/>
      <c r="K6" s="70"/>
      <c r="L6" s="81"/>
      <c r="M6" s="81"/>
      <c r="N6" s="81"/>
      <c r="P6" s="144" t="s">
        <v>123</v>
      </c>
      <c r="Q6" s="119">
        <v>0.13800000000000001</v>
      </c>
      <c r="R6" s="119">
        <v>6.4</v>
      </c>
    </row>
    <row r="7" spans="1:20" x14ac:dyDescent="0.25">
      <c r="A7" s="137" t="s">
        <v>92</v>
      </c>
      <c r="B7" s="116">
        <v>16.25</v>
      </c>
      <c r="C7" s="119">
        <v>17.100000000000001</v>
      </c>
      <c r="D7" s="119">
        <v>48.239522968197917</v>
      </c>
      <c r="E7" s="79">
        <f t="shared" si="0"/>
        <v>2.8210247349823341</v>
      </c>
      <c r="I7" s="40"/>
      <c r="P7" s="144" t="s">
        <v>92</v>
      </c>
      <c r="Q7" s="119">
        <v>1.3049999999999999</v>
      </c>
      <c r="R7" s="119">
        <v>16.25</v>
      </c>
    </row>
    <row r="8" spans="1:20" x14ac:dyDescent="0.25">
      <c r="A8" s="137" t="s">
        <v>93</v>
      </c>
      <c r="B8" s="116">
        <v>13.64</v>
      </c>
      <c r="C8" s="119">
        <v>17.100000000000001</v>
      </c>
      <c r="D8" s="119">
        <v>52.425939278937392</v>
      </c>
      <c r="E8" s="79">
        <f t="shared" si="0"/>
        <v>3.0658444022770404</v>
      </c>
      <c r="I8" s="40"/>
      <c r="P8" s="144" t="s">
        <v>93</v>
      </c>
      <c r="Q8" s="119">
        <v>1.006</v>
      </c>
      <c r="R8" s="119">
        <v>13.64</v>
      </c>
    </row>
    <row r="9" spans="1:20" x14ac:dyDescent="0.25">
      <c r="A9" s="137" t="s">
        <v>95</v>
      </c>
      <c r="B9" s="116">
        <v>17.010000000000002</v>
      </c>
      <c r="C9" s="119">
        <v>17.100000000000001</v>
      </c>
      <c r="D9" s="119">
        <v>52.415217391304353</v>
      </c>
      <c r="E9" s="79">
        <f t="shared" si="0"/>
        <v>3.0652173913043477</v>
      </c>
      <c r="I9" s="40"/>
      <c r="P9" s="144" t="s">
        <v>95</v>
      </c>
      <c r="Q9" s="119">
        <v>1.395</v>
      </c>
      <c r="R9" s="119">
        <v>17.010000000000002</v>
      </c>
    </row>
    <row r="10" spans="1:20" x14ac:dyDescent="0.25">
      <c r="A10" s="138" t="s">
        <v>118</v>
      </c>
      <c r="B10" s="119">
        <v>24.73</v>
      </c>
      <c r="C10" s="119">
        <v>17.100000000000001</v>
      </c>
      <c r="D10" s="119">
        <v>54.68852760736192</v>
      </c>
      <c r="E10" s="79">
        <f t="shared" si="0"/>
        <v>3.1981595092024513</v>
      </c>
      <c r="I10" s="40"/>
      <c r="P10" s="145" t="s">
        <v>118</v>
      </c>
      <c r="Q10" s="119">
        <v>2.3079999999999998</v>
      </c>
      <c r="R10" s="119">
        <v>24.73</v>
      </c>
    </row>
    <row r="11" spans="1:20" x14ac:dyDescent="0.25">
      <c r="A11" s="137" t="s">
        <v>96</v>
      </c>
      <c r="B11" s="116">
        <v>13.54</v>
      </c>
      <c r="C11" s="119">
        <v>17.100000000000001</v>
      </c>
      <c r="D11" s="119">
        <v>54.330559006211168</v>
      </c>
      <c r="E11" s="79">
        <f t="shared" si="0"/>
        <v>3.1772256728778459</v>
      </c>
      <c r="I11" s="40"/>
      <c r="P11" s="144" t="s">
        <v>96</v>
      </c>
      <c r="Q11" s="119">
        <v>0.98399999999999999</v>
      </c>
      <c r="R11" s="119">
        <v>13.54</v>
      </c>
    </row>
    <row r="12" spans="1:20" x14ac:dyDescent="0.25">
      <c r="A12" s="137" t="s">
        <v>97</v>
      </c>
      <c r="B12" s="116">
        <v>35.450000000000003</v>
      </c>
      <c r="C12" s="119">
        <v>17.100000000000001</v>
      </c>
      <c r="D12" s="119">
        <v>45.03296875000003</v>
      </c>
      <c r="E12" s="79">
        <f t="shared" si="0"/>
        <v>2.6335069444444459</v>
      </c>
      <c r="I12" s="40"/>
      <c r="P12" s="144" t="s">
        <v>97</v>
      </c>
      <c r="Q12" s="119">
        <v>3.5760000000000001</v>
      </c>
      <c r="R12" s="119">
        <v>35.450000000000003</v>
      </c>
    </row>
    <row r="13" spans="1:20" x14ac:dyDescent="0.25">
      <c r="A13" s="137" t="s">
        <v>142</v>
      </c>
      <c r="B13" s="116">
        <f>AVERAGE(B5:B12)</f>
        <v>17.341250000000002</v>
      </c>
      <c r="C13" s="119">
        <f>AVERAGE(C5:C12)</f>
        <v>17.099999999999998</v>
      </c>
      <c r="D13" s="119">
        <f>AVERAGE(D5:D12)</f>
        <v>54.677438350205222</v>
      </c>
      <c r="E13" s="79">
        <f>AVERAGE(E5:E12)</f>
        <v>3.1975110146318837</v>
      </c>
      <c r="I13" s="40"/>
    </row>
    <row r="14" spans="1:20" x14ac:dyDescent="0.25">
      <c r="A14" s="42"/>
      <c r="B14" s="15"/>
      <c r="E14" s="46"/>
      <c r="I14" s="40"/>
    </row>
    <row r="15" spans="1:20" x14ac:dyDescent="0.25">
      <c r="E15" s="46"/>
      <c r="I15" s="40"/>
      <c r="R15" s="35"/>
    </row>
    <row r="16" spans="1:20" x14ac:dyDescent="0.25">
      <c r="A16" s="199"/>
      <c r="B16" s="199"/>
      <c r="I16" s="40"/>
      <c r="P16" s="193" t="s">
        <v>124</v>
      </c>
      <c r="Q16" s="193"/>
      <c r="R16" s="193"/>
      <c r="S16" s="35"/>
    </row>
    <row r="17" spans="1:26" x14ac:dyDescent="0.25">
      <c r="A17" s="87" t="s">
        <v>131</v>
      </c>
      <c r="B17" s="136" t="s">
        <v>155</v>
      </c>
      <c r="C17" s="136" t="s">
        <v>148</v>
      </c>
      <c r="D17" s="136" t="s">
        <v>121</v>
      </c>
      <c r="E17" s="136" t="s">
        <v>132</v>
      </c>
      <c r="I17" s="40"/>
      <c r="P17" s="87" t="s">
        <v>131</v>
      </c>
      <c r="Q17" s="105" t="s">
        <v>133</v>
      </c>
      <c r="R17" s="106" t="s">
        <v>155</v>
      </c>
    </row>
    <row r="18" spans="1:26" x14ac:dyDescent="0.25">
      <c r="A18" s="120" t="s">
        <v>113</v>
      </c>
      <c r="B18" s="139">
        <v>6.25</v>
      </c>
      <c r="C18" s="139">
        <v>17.100000000000001</v>
      </c>
      <c r="D18" s="140">
        <v>53.7</v>
      </c>
      <c r="E18" s="139">
        <f>D18/C18</f>
        <v>3.1403508771929824</v>
      </c>
      <c r="I18" s="40"/>
      <c r="P18" s="145" t="s">
        <v>113</v>
      </c>
      <c r="Q18" s="116">
        <f>142/1000</f>
        <v>0.14199999999999999</v>
      </c>
      <c r="R18" s="119">
        <v>6.25</v>
      </c>
    </row>
    <row r="19" spans="1:26" s="37" customFormat="1" x14ac:dyDescent="0.25">
      <c r="A19" s="120" t="s">
        <v>114</v>
      </c>
      <c r="B19" s="139">
        <v>14.46</v>
      </c>
      <c r="C19" s="139">
        <v>17.100000000000001</v>
      </c>
      <c r="D19" s="140">
        <v>43.71</v>
      </c>
      <c r="E19" s="139">
        <f t="shared" ref="E19:E31" si="1">D19/C19</f>
        <v>2.5561403508771927</v>
      </c>
      <c r="I19" s="40"/>
      <c r="J19" s="7"/>
      <c r="K19" s="7"/>
      <c r="L19" s="7"/>
      <c r="M19" s="7"/>
      <c r="N19" s="7"/>
      <c r="P19" s="145" t="s">
        <v>114</v>
      </c>
      <c r="Q19" s="116">
        <f>1114/1000</f>
        <v>1.1140000000000001</v>
      </c>
      <c r="R19" s="119">
        <v>14.46</v>
      </c>
    </row>
    <row r="20" spans="1:26" x14ac:dyDescent="0.25">
      <c r="A20" s="120" t="s">
        <v>115</v>
      </c>
      <c r="B20" s="139">
        <v>14.1</v>
      </c>
      <c r="C20" s="139">
        <v>17.100000000000001</v>
      </c>
      <c r="D20" s="141">
        <v>65.02</v>
      </c>
      <c r="E20" s="139">
        <f t="shared" si="1"/>
        <v>3.8023391812865492</v>
      </c>
      <c r="I20" s="40"/>
      <c r="P20" s="145" t="s">
        <v>115</v>
      </c>
      <c r="Q20" s="116">
        <f>1072/1000</f>
        <v>1.0720000000000001</v>
      </c>
      <c r="R20" s="119">
        <v>14.1</v>
      </c>
    </row>
    <row r="21" spans="1:26" x14ac:dyDescent="0.25">
      <c r="A21" s="120" t="s">
        <v>116</v>
      </c>
      <c r="B21" s="139">
        <v>23.05</v>
      </c>
      <c r="C21" s="139">
        <v>17.100000000000001</v>
      </c>
      <c r="D21" s="140">
        <v>46.07</v>
      </c>
      <c r="E21" s="139">
        <f t="shared" si="1"/>
        <v>2.6941520467836257</v>
      </c>
      <c r="I21" s="40"/>
      <c r="P21" s="145" t="s">
        <v>116</v>
      </c>
      <c r="Q21" s="116">
        <f>2151/1000</f>
        <v>2.1509999999999998</v>
      </c>
      <c r="R21" s="119">
        <v>23.05</v>
      </c>
    </row>
    <row r="22" spans="1:26" x14ac:dyDescent="0.25">
      <c r="A22" s="120" t="s">
        <v>101</v>
      </c>
      <c r="B22" s="139">
        <v>11.83</v>
      </c>
      <c r="C22" s="139">
        <v>17.100000000000001</v>
      </c>
      <c r="D22" s="140">
        <v>50.16</v>
      </c>
      <c r="E22" s="139">
        <f t="shared" si="1"/>
        <v>2.9333333333333327</v>
      </c>
      <c r="I22" s="40"/>
      <c r="P22" s="145" t="s">
        <v>101</v>
      </c>
      <c r="Q22" s="116">
        <f>811/1000</f>
        <v>0.81100000000000005</v>
      </c>
      <c r="R22" s="119">
        <v>11.83</v>
      </c>
    </row>
    <row r="23" spans="1:26" x14ac:dyDescent="0.25">
      <c r="A23" s="120" t="s">
        <v>117</v>
      </c>
      <c r="B23" s="139">
        <v>7.86</v>
      </c>
      <c r="C23" s="139">
        <v>17.100000000000001</v>
      </c>
      <c r="D23" s="140">
        <v>45.98</v>
      </c>
      <c r="E23" s="139">
        <f t="shared" si="1"/>
        <v>2.6888888888888887</v>
      </c>
      <c r="I23" s="10"/>
      <c r="J23" s="10"/>
      <c r="K23" s="10"/>
      <c r="L23" s="10"/>
      <c r="M23" s="10"/>
      <c r="N23" s="10"/>
      <c r="P23" s="145" t="s">
        <v>117</v>
      </c>
      <c r="Q23" s="116">
        <f>334/1000</f>
        <v>0.33400000000000002</v>
      </c>
      <c r="R23" s="119">
        <v>7.86</v>
      </c>
    </row>
    <row r="24" spans="1:26" x14ac:dyDescent="0.25">
      <c r="A24" s="120" t="s">
        <v>139</v>
      </c>
      <c r="B24" s="139">
        <v>8.08</v>
      </c>
      <c r="C24" s="139">
        <v>17.100000000000001</v>
      </c>
      <c r="D24" s="139">
        <v>43.3</v>
      </c>
      <c r="E24" s="139">
        <f t="shared" si="1"/>
        <v>2.5321637426900581</v>
      </c>
      <c r="I24" s="194"/>
      <c r="J24" s="194"/>
      <c r="K24" s="194"/>
      <c r="L24" s="82"/>
      <c r="M24" s="82"/>
      <c r="N24" s="82"/>
      <c r="P24" s="146" t="s">
        <v>139</v>
      </c>
      <c r="Q24" s="109">
        <f>360/1000</f>
        <v>0.36</v>
      </c>
      <c r="R24" s="119">
        <v>8.08</v>
      </c>
    </row>
    <row r="25" spans="1:26" s="29" customFormat="1" x14ac:dyDescent="0.25">
      <c r="A25" s="120" t="s">
        <v>119</v>
      </c>
      <c r="B25" s="139">
        <v>19.53</v>
      </c>
      <c r="C25" s="139">
        <v>17.100000000000001</v>
      </c>
      <c r="D25" s="140">
        <v>45.72</v>
      </c>
      <c r="E25" s="139">
        <f t="shared" si="1"/>
        <v>2.6736842105263157</v>
      </c>
      <c r="F25" s="23"/>
      <c r="G25" s="23"/>
      <c r="H25" s="23"/>
      <c r="I25" s="196"/>
      <c r="J25" s="69"/>
      <c r="K25" s="8"/>
      <c r="L25" s="8"/>
      <c r="M25" s="8"/>
      <c r="N25" s="8"/>
      <c r="O25" s="23"/>
      <c r="P25" s="145" t="s">
        <v>119</v>
      </c>
      <c r="Q25" s="116">
        <f>1714/1000</f>
        <v>1.714</v>
      </c>
      <c r="R25" s="119">
        <v>19.53</v>
      </c>
      <c r="Z25" s="30"/>
    </row>
    <row r="26" spans="1:26" x14ac:dyDescent="0.25">
      <c r="A26" s="120" t="s">
        <v>141</v>
      </c>
      <c r="B26" s="139">
        <v>22.83</v>
      </c>
      <c r="C26" s="139">
        <v>17.100000000000001</v>
      </c>
      <c r="D26" s="139">
        <v>43.24</v>
      </c>
      <c r="E26" s="139">
        <f t="shared" si="1"/>
        <v>2.5286549707602339</v>
      </c>
      <c r="I26" s="196"/>
      <c r="J26" s="69"/>
      <c r="K26" s="8"/>
      <c r="L26" s="8"/>
      <c r="M26" s="8"/>
      <c r="N26" s="8"/>
      <c r="P26" s="146" t="s">
        <v>141</v>
      </c>
      <c r="Q26" s="109">
        <f>2105/1000</f>
        <v>2.105</v>
      </c>
      <c r="R26" s="119">
        <v>22.83</v>
      </c>
    </row>
    <row r="27" spans="1:26" x14ac:dyDescent="0.25">
      <c r="A27" s="117" t="s">
        <v>140</v>
      </c>
      <c r="B27" s="134">
        <v>18.760000000000002</v>
      </c>
      <c r="C27" s="139">
        <v>17.100000000000001</v>
      </c>
      <c r="D27" s="139">
        <v>44.77</v>
      </c>
      <c r="E27" s="139">
        <f t="shared" si="1"/>
        <v>2.6181286549707603</v>
      </c>
      <c r="I27" s="41"/>
      <c r="J27" s="15"/>
      <c r="K27" s="11"/>
      <c r="L27" s="11"/>
      <c r="M27" s="11"/>
      <c r="N27" s="11"/>
      <c r="P27" s="146" t="s">
        <v>140</v>
      </c>
      <c r="Q27" s="78">
        <f>1627/1000</f>
        <v>1.627</v>
      </c>
      <c r="R27" s="147">
        <v>18.760000000000002</v>
      </c>
    </row>
    <row r="28" spans="1:26" x14ac:dyDescent="0.25">
      <c r="A28" s="117" t="s">
        <v>104</v>
      </c>
      <c r="B28" s="139">
        <v>11.35</v>
      </c>
      <c r="C28" s="139">
        <v>17.100000000000001</v>
      </c>
      <c r="D28" s="139">
        <v>46.78</v>
      </c>
      <c r="E28" s="139">
        <f t="shared" si="1"/>
        <v>2.7356725146198828</v>
      </c>
      <c r="I28" s="41"/>
      <c r="J28" s="15"/>
      <c r="K28" s="11"/>
      <c r="L28" s="11"/>
      <c r="M28" s="11"/>
      <c r="N28" s="11"/>
      <c r="P28" s="148" t="s">
        <v>104</v>
      </c>
      <c r="Q28" s="116">
        <f>746/1000</f>
        <v>0.746</v>
      </c>
      <c r="R28" s="119">
        <v>11.35</v>
      </c>
    </row>
    <row r="29" spans="1:26" x14ac:dyDescent="0.25">
      <c r="A29" s="117" t="s">
        <v>126</v>
      </c>
      <c r="B29" s="139">
        <v>7.71</v>
      </c>
      <c r="C29" s="139">
        <v>17.100000000000001</v>
      </c>
      <c r="D29" s="113">
        <v>57.58</v>
      </c>
      <c r="E29" s="139">
        <f t="shared" si="1"/>
        <v>3.3672514619883036</v>
      </c>
      <c r="I29" s="41"/>
      <c r="J29" s="15"/>
      <c r="K29" s="11"/>
      <c r="L29" s="11"/>
      <c r="M29" s="11"/>
      <c r="N29" s="11"/>
      <c r="P29" s="148" t="s">
        <v>126</v>
      </c>
      <c r="Q29" s="116">
        <f>316/1000</f>
        <v>0.316</v>
      </c>
      <c r="R29" s="119">
        <v>7.71</v>
      </c>
    </row>
    <row r="30" spans="1:26" x14ac:dyDescent="0.25">
      <c r="A30" s="117" t="s">
        <v>105</v>
      </c>
      <c r="B30" s="139">
        <v>19.989999999999998</v>
      </c>
      <c r="C30" s="139">
        <v>17.100000000000001</v>
      </c>
      <c r="D30" s="139">
        <v>44.76</v>
      </c>
      <c r="E30" s="139">
        <f t="shared" si="1"/>
        <v>2.6175438596491225</v>
      </c>
      <c r="I30" s="41"/>
      <c r="J30" s="15"/>
      <c r="K30" s="11"/>
      <c r="L30" s="11"/>
      <c r="M30" s="11"/>
      <c r="N30" s="11"/>
      <c r="P30" s="145" t="s">
        <v>105</v>
      </c>
      <c r="Q30" s="116">
        <v>1.768</v>
      </c>
      <c r="R30" s="119">
        <v>19.989999999999998</v>
      </c>
    </row>
    <row r="31" spans="1:26" x14ac:dyDescent="0.25">
      <c r="A31" s="117" t="s">
        <v>120</v>
      </c>
      <c r="B31" s="139">
        <v>13.4</v>
      </c>
      <c r="C31" s="139">
        <v>17.100000000000001</v>
      </c>
      <c r="D31" s="140">
        <v>45.66</v>
      </c>
      <c r="E31" s="139">
        <f t="shared" si="1"/>
        <v>2.6701754385964906</v>
      </c>
      <c r="I31" s="41"/>
      <c r="J31" s="15"/>
      <c r="K31" s="11"/>
      <c r="L31" s="11"/>
      <c r="M31" s="11"/>
      <c r="N31" s="11"/>
      <c r="P31" s="145" t="s">
        <v>120</v>
      </c>
      <c r="Q31" s="116">
        <v>0.98899999999999999</v>
      </c>
      <c r="R31" s="119">
        <v>13.4</v>
      </c>
    </row>
    <row r="32" spans="1:26" x14ac:dyDescent="0.25">
      <c r="A32" s="139" t="s">
        <v>142</v>
      </c>
      <c r="B32" s="139">
        <f>AVERAGE(B18:B31)</f>
        <v>14.22857142857143</v>
      </c>
      <c r="C32" s="139">
        <f>AVERAGE(C18:C31)</f>
        <v>17.099999999999998</v>
      </c>
      <c r="D32" s="139">
        <f>AVERAGE(D18:D31)</f>
        <v>48.317857142857136</v>
      </c>
      <c r="E32" s="139">
        <f>AVERAGE(E18:E31)</f>
        <v>2.8256056808688386</v>
      </c>
      <c r="I32" s="41"/>
      <c r="J32" s="15"/>
      <c r="K32" s="11"/>
      <c r="L32" s="11"/>
      <c r="M32" s="11"/>
      <c r="N32" s="11"/>
      <c r="P32" s="36"/>
    </row>
    <row r="33" spans="1:23" x14ac:dyDescent="0.25">
      <c r="I33" s="41"/>
      <c r="J33" s="15"/>
      <c r="K33" s="11"/>
      <c r="L33" s="11"/>
      <c r="M33" s="11"/>
      <c r="N33" s="11"/>
      <c r="P33" s="36"/>
    </row>
    <row r="34" spans="1:23" x14ac:dyDescent="0.25">
      <c r="I34" s="41"/>
      <c r="J34" s="15"/>
    </row>
    <row r="35" spans="1:23" x14ac:dyDescent="0.25">
      <c r="C35" s="54"/>
      <c r="D35" s="72"/>
      <c r="E35" s="54"/>
      <c r="F35" s="54"/>
      <c r="G35" s="54"/>
      <c r="H35" s="54"/>
      <c r="I35" s="41"/>
      <c r="J35" s="15"/>
      <c r="U35" s="38"/>
      <c r="V35" s="38"/>
      <c r="W35" s="38"/>
    </row>
    <row r="36" spans="1:23" x14ac:dyDescent="0.25">
      <c r="A36" s="53" t="s">
        <v>127</v>
      </c>
      <c r="B36" s="54"/>
      <c r="C36" s="55"/>
      <c r="D36" s="73"/>
      <c r="E36" s="37"/>
      <c r="I36" s="41"/>
      <c r="J36" s="15"/>
      <c r="K36" s="11"/>
      <c r="L36" s="11"/>
      <c r="M36" s="11"/>
      <c r="N36" s="11"/>
      <c r="P36" s="192" t="s">
        <v>156</v>
      </c>
      <c r="Q36" s="192"/>
      <c r="R36" s="192"/>
      <c r="U36" s="38"/>
      <c r="V36" s="38"/>
      <c r="W36" s="38"/>
    </row>
    <row r="37" spans="1:23" x14ac:dyDescent="0.25">
      <c r="A37" s="198" t="s">
        <v>131</v>
      </c>
      <c r="B37" s="200" t="s">
        <v>129</v>
      </c>
      <c r="C37" s="200"/>
      <c r="D37" s="73"/>
      <c r="F37" s="54"/>
      <c r="G37" s="54"/>
      <c r="H37" s="54"/>
      <c r="I37" s="41"/>
      <c r="J37" s="15"/>
      <c r="K37" s="11"/>
      <c r="L37" s="11"/>
      <c r="M37" s="11"/>
      <c r="N37" s="11"/>
      <c r="O37" s="54"/>
      <c r="P37" s="197" t="s">
        <v>131</v>
      </c>
      <c r="Q37" s="105" t="s">
        <v>133</v>
      </c>
      <c r="R37" s="106" t="s">
        <v>157</v>
      </c>
      <c r="S37" s="105" t="s">
        <v>133</v>
      </c>
      <c r="T37" s="106" t="s">
        <v>158</v>
      </c>
      <c r="U37" s="38"/>
    </row>
    <row r="38" spans="1:23" s="37" customFormat="1" x14ac:dyDescent="0.25">
      <c r="A38" s="198"/>
      <c r="B38" s="136" t="s">
        <v>112</v>
      </c>
      <c r="C38" s="136" t="s">
        <v>124</v>
      </c>
      <c r="D38" s="73"/>
      <c r="E38" s="7"/>
      <c r="I38" s="41"/>
      <c r="J38" s="15"/>
      <c r="K38" s="11"/>
      <c r="L38" s="11"/>
      <c r="M38" s="11"/>
      <c r="N38" s="11"/>
      <c r="P38" s="197"/>
      <c r="Q38" s="136" t="s">
        <v>130</v>
      </c>
      <c r="R38" s="136" t="s">
        <v>130</v>
      </c>
      <c r="S38" s="136" t="s">
        <v>128</v>
      </c>
      <c r="T38" s="136" t="s">
        <v>128</v>
      </c>
      <c r="U38" s="38"/>
    </row>
    <row r="39" spans="1:23" x14ac:dyDescent="0.25">
      <c r="A39" s="142" t="s">
        <v>89</v>
      </c>
      <c r="B39" s="119">
        <v>59.86</v>
      </c>
      <c r="C39" s="119">
        <v>59.86</v>
      </c>
      <c r="I39" s="41"/>
      <c r="J39" s="15"/>
      <c r="K39" s="11"/>
      <c r="L39" s="11"/>
      <c r="M39" s="11"/>
      <c r="N39" s="11"/>
      <c r="P39" s="148" t="s">
        <v>89</v>
      </c>
      <c r="Q39" s="119">
        <v>3.593</v>
      </c>
      <c r="R39" s="119">
        <v>35.31</v>
      </c>
      <c r="S39" s="149">
        <v>1.35</v>
      </c>
      <c r="T39" s="149">
        <v>16.34</v>
      </c>
      <c r="U39" s="38"/>
    </row>
    <row r="40" spans="1:23" x14ac:dyDescent="0.25">
      <c r="A40" s="142" t="s">
        <v>91</v>
      </c>
      <c r="B40" s="119">
        <v>54.07</v>
      </c>
      <c r="C40" s="119">
        <v>53.34</v>
      </c>
      <c r="F40" s="24"/>
      <c r="I40" s="41"/>
      <c r="J40" s="15"/>
      <c r="K40" s="11"/>
      <c r="L40" s="11"/>
      <c r="M40" s="11"/>
      <c r="N40" s="11"/>
      <c r="P40" s="148" t="s">
        <v>91</v>
      </c>
      <c r="Q40" s="119">
        <v>0.89400000000000002</v>
      </c>
      <c r="R40" s="119">
        <v>12.78</v>
      </c>
      <c r="S40" s="149">
        <v>3.46</v>
      </c>
      <c r="T40" s="149">
        <v>34.29</v>
      </c>
      <c r="U40" s="38"/>
    </row>
    <row r="41" spans="1:23" x14ac:dyDescent="0.25">
      <c r="A41" s="142" t="s">
        <v>94</v>
      </c>
      <c r="B41" s="119">
        <v>42.31</v>
      </c>
      <c r="C41" s="119">
        <v>42.6</v>
      </c>
      <c r="F41" s="24"/>
      <c r="I41" s="41"/>
      <c r="J41" s="15"/>
      <c r="K41" s="11"/>
      <c r="L41" s="11"/>
      <c r="M41" s="11"/>
      <c r="N41" s="11"/>
      <c r="P41" s="144" t="s">
        <v>94</v>
      </c>
      <c r="Q41" s="119">
        <v>3.7879999999999998</v>
      </c>
      <c r="R41" s="119">
        <v>40.97</v>
      </c>
      <c r="S41" s="149">
        <v>3.5</v>
      </c>
      <c r="T41" s="149">
        <v>34.630000000000003</v>
      </c>
      <c r="U41" s="38"/>
    </row>
    <row r="42" spans="1:23" x14ac:dyDescent="0.25">
      <c r="A42" s="142" t="s">
        <v>99</v>
      </c>
      <c r="B42" s="119">
        <v>49.25</v>
      </c>
      <c r="C42" s="119">
        <v>49.25</v>
      </c>
      <c r="F42" s="24"/>
      <c r="I42" s="41"/>
      <c r="J42" s="15"/>
      <c r="K42" s="11"/>
      <c r="L42" s="11"/>
      <c r="M42" s="11"/>
      <c r="N42" s="11"/>
      <c r="P42" s="148" t="s">
        <v>99</v>
      </c>
      <c r="Q42" s="119">
        <v>0.97399999999999998</v>
      </c>
      <c r="R42" s="119">
        <v>14.88</v>
      </c>
      <c r="S42" s="149">
        <v>3.5</v>
      </c>
      <c r="T42" s="150">
        <v>34.9</v>
      </c>
      <c r="U42" s="38"/>
    </row>
    <row r="43" spans="1:23" x14ac:dyDescent="0.25">
      <c r="A43" s="142" t="s">
        <v>100</v>
      </c>
      <c r="B43" s="119">
        <v>44.65</v>
      </c>
      <c r="C43" s="119">
        <v>44.43</v>
      </c>
      <c r="F43" s="24"/>
      <c r="I43" s="41"/>
      <c r="J43" s="15"/>
      <c r="K43" s="11"/>
      <c r="L43" s="11"/>
      <c r="M43" s="11"/>
      <c r="N43" s="11"/>
      <c r="P43" s="148" t="s">
        <v>100</v>
      </c>
      <c r="Q43" s="119">
        <v>3.3159999999999998</v>
      </c>
      <c r="R43" s="119">
        <v>36.869999999999997</v>
      </c>
      <c r="S43" s="149">
        <v>0.97</v>
      </c>
      <c r="T43" s="150">
        <v>13.3</v>
      </c>
      <c r="U43" s="38"/>
    </row>
    <row r="44" spans="1:23" x14ac:dyDescent="0.25">
      <c r="A44" s="142" t="s">
        <v>102</v>
      </c>
      <c r="B44" s="119">
        <v>44.32</v>
      </c>
      <c r="C44" s="119">
        <v>43.48</v>
      </c>
      <c r="F44" s="24"/>
      <c r="I44" s="41"/>
      <c r="J44" s="15"/>
      <c r="K44" s="11"/>
      <c r="L44" s="11"/>
      <c r="M44" s="11"/>
      <c r="N44" s="11"/>
      <c r="P44" s="148" t="s">
        <v>102</v>
      </c>
      <c r="Q44" s="119">
        <v>1.7010000000000001</v>
      </c>
      <c r="R44" s="119">
        <v>19.600000000000001</v>
      </c>
      <c r="S44" s="149">
        <v>3.5</v>
      </c>
      <c r="T44" s="149">
        <v>34.630000000000003</v>
      </c>
      <c r="U44" s="38"/>
    </row>
    <row r="45" spans="1:23" x14ac:dyDescent="0.25">
      <c r="A45" s="142" t="s">
        <v>98</v>
      </c>
      <c r="B45" s="119">
        <v>50.15</v>
      </c>
      <c r="C45" s="119">
        <v>48.59</v>
      </c>
      <c r="F45" s="24"/>
      <c r="I45" s="41"/>
      <c r="J45" s="15"/>
      <c r="K45" s="11"/>
      <c r="L45" s="11"/>
      <c r="M45" s="11"/>
      <c r="N45" s="11"/>
      <c r="P45" s="148" t="s">
        <v>98</v>
      </c>
      <c r="Q45" s="119">
        <v>1.2</v>
      </c>
      <c r="R45" s="119">
        <v>15.36</v>
      </c>
      <c r="S45" s="149">
        <v>3.58</v>
      </c>
      <c r="T45" s="151">
        <v>35.299999999999997</v>
      </c>
      <c r="U45" s="38"/>
    </row>
    <row r="46" spans="1:23" x14ac:dyDescent="0.25">
      <c r="A46" s="142" t="s">
        <v>103</v>
      </c>
      <c r="B46" s="119">
        <v>42.77</v>
      </c>
      <c r="C46" s="119">
        <v>41.1</v>
      </c>
      <c r="F46" s="24"/>
      <c r="I46" s="41"/>
      <c r="J46" s="15"/>
      <c r="K46" s="11"/>
      <c r="L46" s="11"/>
      <c r="M46" s="11"/>
      <c r="N46" s="11"/>
      <c r="P46" s="148" t="s">
        <v>103</v>
      </c>
      <c r="Q46" s="119">
        <v>3.7160000000000002</v>
      </c>
      <c r="R46" s="119">
        <v>36.630000000000003</v>
      </c>
      <c r="S46" s="149">
        <v>1.36</v>
      </c>
      <c r="T46" s="151">
        <v>16.5</v>
      </c>
      <c r="U46" s="38"/>
      <c r="V46" s="38"/>
      <c r="W46" s="38"/>
    </row>
    <row r="47" spans="1:23" x14ac:dyDescent="0.25">
      <c r="A47" s="143" t="s">
        <v>142</v>
      </c>
      <c r="B47" s="119">
        <f>AVERAGE(B39:B46)</f>
        <v>48.422499999999999</v>
      </c>
      <c r="C47" s="119">
        <f>AVERAGE(C39:C46)</f>
        <v>47.831250000000011</v>
      </c>
      <c r="F47" s="24"/>
      <c r="I47" s="41"/>
      <c r="J47" s="15"/>
      <c r="K47" s="11"/>
      <c r="L47" s="11"/>
      <c r="M47" s="11"/>
      <c r="N47" s="11"/>
      <c r="S47" s="17"/>
      <c r="U47" s="38"/>
      <c r="V47" s="38"/>
      <c r="W47" s="38"/>
    </row>
    <row r="48" spans="1:23" x14ac:dyDescent="0.25">
      <c r="A48" s="44"/>
      <c r="I48" s="41"/>
      <c r="J48" s="15"/>
      <c r="K48" s="11"/>
      <c r="L48" s="11"/>
      <c r="M48" s="11"/>
      <c r="N48" s="11"/>
      <c r="S48" s="15"/>
      <c r="U48" s="38"/>
      <c r="V48" s="38"/>
      <c r="W48" s="38"/>
    </row>
    <row r="49" spans="1:23" x14ac:dyDescent="0.25">
      <c r="A49" s="44"/>
      <c r="P49" s="197" t="s">
        <v>131</v>
      </c>
      <c r="Q49" s="105" t="s">
        <v>133</v>
      </c>
      <c r="R49" s="106" t="s">
        <v>158</v>
      </c>
      <c r="U49" s="38"/>
      <c r="V49" s="38"/>
      <c r="W49" s="38"/>
    </row>
    <row r="50" spans="1:23" x14ac:dyDescent="0.25">
      <c r="P50" s="197"/>
      <c r="Q50" s="136" t="s">
        <v>130</v>
      </c>
      <c r="R50" s="136" t="s">
        <v>130</v>
      </c>
      <c r="S50" s="38"/>
      <c r="T50" s="38"/>
      <c r="U50" s="38"/>
      <c r="V50" s="38"/>
      <c r="W50" s="38"/>
    </row>
    <row r="51" spans="1:23" x14ac:dyDescent="0.25">
      <c r="P51" s="148" t="s">
        <v>89</v>
      </c>
      <c r="Q51" s="119">
        <f>Q39+S39</f>
        <v>4.9429999999999996</v>
      </c>
      <c r="R51" s="119">
        <f>R39+T39</f>
        <v>51.650000000000006</v>
      </c>
      <c r="S51" s="38"/>
      <c r="T51" s="38"/>
    </row>
    <row r="52" spans="1:23" x14ac:dyDescent="0.25">
      <c r="A52" s="71"/>
      <c r="B52" s="72"/>
      <c r="C52" s="73"/>
      <c r="D52" s="73"/>
      <c r="P52" s="148" t="s">
        <v>91</v>
      </c>
      <c r="Q52" s="119">
        <f t="shared" ref="Q52:Q58" si="2">Q40+S40</f>
        <v>4.3540000000000001</v>
      </c>
      <c r="R52" s="119">
        <f t="shared" ref="R52:R58" si="3">R40+T40</f>
        <v>47.07</v>
      </c>
      <c r="S52" s="38"/>
      <c r="T52" s="38"/>
    </row>
    <row r="53" spans="1:23" x14ac:dyDescent="0.25">
      <c r="A53" s="35"/>
      <c r="B53" s="193"/>
      <c r="C53" s="193"/>
      <c r="D53" s="73"/>
      <c r="P53" s="144" t="s">
        <v>94</v>
      </c>
      <c r="Q53" s="119">
        <f t="shared" si="2"/>
        <v>7.2880000000000003</v>
      </c>
      <c r="R53" s="119">
        <f t="shared" si="3"/>
        <v>75.599999999999994</v>
      </c>
      <c r="S53" s="38"/>
      <c r="T53" s="38"/>
    </row>
    <row r="54" spans="1:23" x14ac:dyDescent="0.25">
      <c r="A54" s="88" t="s">
        <v>131</v>
      </c>
      <c r="B54" s="136" t="s">
        <v>155</v>
      </c>
      <c r="C54" s="136" t="s">
        <v>154</v>
      </c>
      <c r="D54" s="136" t="s">
        <v>129</v>
      </c>
      <c r="E54" s="136" t="s">
        <v>132</v>
      </c>
      <c r="P54" s="148" t="s">
        <v>99</v>
      </c>
      <c r="Q54" s="119">
        <f t="shared" si="2"/>
        <v>4.4740000000000002</v>
      </c>
      <c r="R54" s="119">
        <f t="shared" si="3"/>
        <v>49.78</v>
      </c>
      <c r="S54" s="38"/>
      <c r="T54" s="38"/>
    </row>
    <row r="55" spans="1:23" x14ac:dyDescent="0.25">
      <c r="A55" s="142" t="s">
        <v>89</v>
      </c>
      <c r="B55" s="119">
        <v>51.650000000000006</v>
      </c>
      <c r="C55" s="119">
        <f>17.1*2</f>
        <v>34.200000000000003</v>
      </c>
      <c r="D55" s="119">
        <v>119.72</v>
      </c>
      <c r="E55" s="119">
        <f>D55/C55</f>
        <v>3.5005847953216369</v>
      </c>
      <c r="P55" s="148" t="s">
        <v>100</v>
      </c>
      <c r="Q55" s="119">
        <f t="shared" si="2"/>
        <v>4.2859999999999996</v>
      </c>
      <c r="R55" s="119">
        <f t="shared" si="3"/>
        <v>50.17</v>
      </c>
      <c r="S55" s="38"/>
      <c r="T55" s="38"/>
    </row>
    <row r="56" spans="1:23" x14ac:dyDescent="0.25">
      <c r="A56" s="142" t="s">
        <v>91</v>
      </c>
      <c r="B56" s="119">
        <v>47.07</v>
      </c>
      <c r="C56" s="119">
        <f t="shared" ref="C56:C62" si="4">17.1*2</f>
        <v>34.200000000000003</v>
      </c>
      <c r="D56" s="119">
        <v>107.41</v>
      </c>
      <c r="E56" s="119">
        <f t="shared" ref="E56:E62" si="5">D56/C56</f>
        <v>3.1406432748538009</v>
      </c>
      <c r="P56" s="148" t="s">
        <v>102</v>
      </c>
      <c r="Q56" s="119">
        <f t="shared" si="2"/>
        <v>5.2010000000000005</v>
      </c>
      <c r="R56" s="119">
        <f t="shared" si="3"/>
        <v>54.230000000000004</v>
      </c>
      <c r="S56" s="38"/>
      <c r="T56" s="38"/>
    </row>
    <row r="57" spans="1:23" x14ac:dyDescent="0.25">
      <c r="A57" s="142" t="s">
        <v>94</v>
      </c>
      <c r="B57" s="119">
        <v>75.599999999999994</v>
      </c>
      <c r="C57" s="119">
        <f t="shared" si="4"/>
        <v>34.200000000000003</v>
      </c>
      <c r="D57" s="119">
        <v>84.91</v>
      </c>
      <c r="E57" s="119">
        <f t="shared" si="5"/>
        <v>2.4827485380116956</v>
      </c>
      <c r="P57" s="148" t="s">
        <v>98</v>
      </c>
      <c r="Q57" s="119">
        <f t="shared" si="2"/>
        <v>4.78</v>
      </c>
      <c r="R57" s="119">
        <f t="shared" si="3"/>
        <v>50.66</v>
      </c>
      <c r="S57" s="38"/>
      <c r="T57" s="38"/>
    </row>
    <row r="58" spans="1:23" x14ac:dyDescent="0.25">
      <c r="A58" s="142" t="s">
        <v>99</v>
      </c>
      <c r="B58" s="119">
        <v>49.78</v>
      </c>
      <c r="C58" s="119">
        <f t="shared" si="4"/>
        <v>34.200000000000003</v>
      </c>
      <c r="D58" s="119">
        <v>98.5</v>
      </c>
      <c r="E58" s="119">
        <f t="shared" si="5"/>
        <v>2.8801169590643272</v>
      </c>
      <c r="P58" s="148" t="s">
        <v>103</v>
      </c>
      <c r="Q58" s="119">
        <f t="shared" si="2"/>
        <v>5.0760000000000005</v>
      </c>
      <c r="R58" s="119">
        <f t="shared" si="3"/>
        <v>53.13</v>
      </c>
      <c r="S58" s="38"/>
      <c r="T58" s="38"/>
    </row>
    <row r="59" spans="1:23" x14ac:dyDescent="0.25">
      <c r="A59" s="142" t="s">
        <v>100</v>
      </c>
      <c r="B59" s="119">
        <v>50.17</v>
      </c>
      <c r="C59" s="119">
        <f t="shared" si="4"/>
        <v>34.200000000000003</v>
      </c>
      <c r="D59" s="119">
        <v>89.08</v>
      </c>
      <c r="E59" s="119">
        <f t="shared" si="5"/>
        <v>2.6046783625730994</v>
      </c>
      <c r="S59" s="38"/>
      <c r="T59" s="38"/>
    </row>
    <row r="60" spans="1:23" x14ac:dyDescent="0.25">
      <c r="A60" s="142" t="s">
        <v>102</v>
      </c>
      <c r="B60" s="119">
        <v>54.230000000000004</v>
      </c>
      <c r="C60" s="119">
        <f t="shared" si="4"/>
        <v>34.200000000000003</v>
      </c>
      <c r="D60" s="119">
        <v>87.8</v>
      </c>
      <c r="E60" s="119">
        <f t="shared" si="5"/>
        <v>2.5672514619883038</v>
      </c>
      <c r="S60" s="38"/>
      <c r="T60" s="38"/>
    </row>
    <row r="61" spans="1:23" x14ac:dyDescent="0.25">
      <c r="A61" s="142" t="s">
        <v>98</v>
      </c>
      <c r="B61" s="119">
        <v>50.66</v>
      </c>
      <c r="C61" s="119">
        <f t="shared" si="4"/>
        <v>34.200000000000003</v>
      </c>
      <c r="D61" s="119">
        <v>98.740000000000009</v>
      </c>
      <c r="E61" s="119">
        <f t="shared" si="5"/>
        <v>2.8871345029239768</v>
      </c>
      <c r="S61" s="38"/>
      <c r="T61" s="38"/>
    </row>
    <row r="62" spans="1:23" x14ac:dyDescent="0.25">
      <c r="A62" s="142" t="s">
        <v>103</v>
      </c>
      <c r="B62" s="119">
        <v>53.13</v>
      </c>
      <c r="C62" s="119">
        <f t="shared" si="4"/>
        <v>34.200000000000003</v>
      </c>
      <c r="D62" s="119">
        <v>83.87</v>
      </c>
      <c r="E62" s="119">
        <f t="shared" si="5"/>
        <v>2.4523391812865496</v>
      </c>
      <c r="S62" s="38"/>
      <c r="T62" s="38"/>
    </row>
    <row r="63" spans="1:23" x14ac:dyDescent="0.25">
      <c r="A63" s="143" t="s">
        <v>142</v>
      </c>
      <c r="B63" s="119">
        <f>AVERAGE(B55:B62)</f>
        <v>54.036249999999995</v>
      </c>
      <c r="C63" s="119">
        <f>AVERAGE(C55:C62)</f>
        <v>34.199999999999996</v>
      </c>
      <c r="D63" s="119">
        <f>AVERAGE(D55:D62)</f>
        <v>96.253749999999997</v>
      </c>
      <c r="E63" s="119">
        <f>AVERAGE(E55:E62)</f>
        <v>2.8144371345029238</v>
      </c>
      <c r="S63" s="38"/>
      <c r="T63" s="38"/>
    </row>
    <row r="64" spans="1:23" x14ac:dyDescent="0.25">
      <c r="S64" s="38"/>
      <c r="T64" s="38"/>
    </row>
    <row r="92" spans="2:2" x14ac:dyDescent="0.25">
      <c r="B92" s="24"/>
    </row>
  </sheetData>
  <mergeCells count="16">
    <mergeCell ref="P49:P50"/>
    <mergeCell ref="B53:C53"/>
    <mergeCell ref="A37:A38"/>
    <mergeCell ref="A3:B3"/>
    <mergeCell ref="A16:B16"/>
    <mergeCell ref="P37:P38"/>
    <mergeCell ref="B37:C37"/>
    <mergeCell ref="P1:T1"/>
    <mergeCell ref="A1:O1"/>
    <mergeCell ref="P3:R3"/>
    <mergeCell ref="P16:R16"/>
    <mergeCell ref="P36:R36"/>
    <mergeCell ref="I4:K4"/>
    <mergeCell ref="I5:I6"/>
    <mergeCell ref="I24:K24"/>
    <mergeCell ref="I25:I26"/>
  </mergeCells>
  <pageMargins left="0.59055118110236227" right="0.59055118110236227" top="0.39370078740157483" bottom="0.39370078740157483" header="0" footer="0.19685039370078741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Ruang Pembekuan No.1</vt:lpstr>
      <vt:lpstr>Ruang Pembekuan No.2</vt:lpstr>
      <vt:lpstr>Kapasitas refrigerasi</vt:lpstr>
      <vt:lpstr>Kapasitas Refrierasi_2</vt:lpstr>
      <vt:lpstr>Pengolahan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vivo 1606</dc:creator>
  <cp:lastModifiedBy>andreas pujianto</cp:lastModifiedBy>
  <cp:lastPrinted>2019-06-11T00:03:56Z</cp:lastPrinted>
  <dcterms:created xsi:type="dcterms:W3CDTF">2013-05-07T10:00:31Z</dcterms:created>
  <dcterms:modified xsi:type="dcterms:W3CDTF">2019-06-17T05:22:07Z</dcterms:modified>
</cp:coreProperties>
</file>