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US\Desktop\Marine Fellowship Program\02 MFP Juli - November 2019\02. Pengumpulan Data Primer\03 Tabulasi Data\Folder On-Going\"/>
    </mc:Choice>
  </mc:AlternateContent>
  <bookViews>
    <workbookView xWindow="0" yWindow="0" windowWidth="18170" windowHeight="7900" tabRatio="847" firstSheet="2" activeTab="3"/>
  </bookViews>
  <sheets>
    <sheet name="Tabulasi Data Responden" sheetId="1" r:id="rId1"/>
    <sheet name="Informasi Umum Responden" sheetId="3" r:id="rId2"/>
    <sheet name="Pengetahuan &amp; Persepsi" sheetId="4" r:id="rId3"/>
    <sheet name="Tabulasi Kerugian Ekonomi" sheetId="2" r:id="rId4"/>
    <sheet name="Kerugian Ekonomi" sheetId="5" r:id="rId5"/>
    <sheet name="Grafik Kerugian Ekonomi"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6" i="2" l="1"/>
  <c r="BE34" i="2"/>
  <c r="BE36" i="2"/>
  <c r="BE37" i="2"/>
  <c r="BE29" i="2"/>
  <c r="C6" i="6" l="1"/>
  <c r="R5" i="2"/>
  <c r="AN48" i="2"/>
  <c r="BC45" i="2"/>
  <c r="BJ46" i="2"/>
  <c r="F13" i="6" l="1"/>
  <c r="F12" i="6"/>
  <c r="F11" i="6"/>
  <c r="F10" i="6"/>
  <c r="F9" i="6"/>
  <c r="F8" i="6"/>
  <c r="F7" i="6"/>
  <c r="F6" i="6"/>
  <c r="E12" i="6"/>
  <c r="E11" i="6"/>
  <c r="E9" i="6"/>
  <c r="E6" i="6"/>
  <c r="D11" i="6"/>
  <c r="D8" i="6"/>
  <c r="C13" i="6"/>
  <c r="C12" i="6"/>
  <c r="C11" i="6"/>
  <c r="C9" i="6"/>
  <c r="C8" i="6"/>
  <c r="C7" i="6"/>
  <c r="B11" i="6"/>
  <c r="B9" i="6"/>
  <c r="B8" i="6"/>
  <c r="O41" i="5"/>
  <c r="M41" i="5"/>
  <c r="K41" i="5"/>
  <c r="I41" i="5"/>
  <c r="G41" i="5"/>
  <c r="P60" i="5"/>
  <c r="O60" i="5"/>
  <c r="P59" i="5"/>
  <c r="O59" i="5"/>
  <c r="P58" i="5"/>
  <c r="O58" i="5"/>
  <c r="P57" i="5"/>
  <c r="O57" i="5"/>
  <c r="P56" i="5"/>
  <c r="P55" i="5"/>
  <c r="O56" i="5"/>
  <c r="O55" i="5"/>
  <c r="P54" i="5"/>
  <c r="O54" i="5"/>
  <c r="P53" i="5"/>
  <c r="O53" i="5"/>
  <c r="P52" i="5"/>
  <c r="O52" i="5"/>
  <c r="P51" i="5"/>
  <c r="O51" i="5"/>
  <c r="P50" i="5"/>
  <c r="O50" i="5"/>
  <c r="P49" i="5"/>
  <c r="O49" i="5"/>
  <c r="P48" i="5"/>
  <c r="O48" i="5"/>
  <c r="O47" i="5"/>
  <c r="O46" i="5"/>
  <c r="O45" i="5"/>
  <c r="O44" i="5"/>
  <c r="O43" i="5"/>
  <c r="O42" i="5"/>
  <c r="O40" i="5"/>
  <c r="P39" i="5"/>
  <c r="O39" i="5"/>
  <c r="P38" i="5"/>
  <c r="O38" i="5"/>
  <c r="O37" i="5"/>
  <c r="O36" i="5"/>
  <c r="O35" i="5"/>
  <c r="O34" i="5"/>
  <c r="O33" i="5"/>
  <c r="O32" i="5"/>
  <c r="O31" i="5"/>
  <c r="P30" i="5"/>
  <c r="O30" i="5"/>
  <c r="P29" i="5"/>
  <c r="O29" i="5"/>
  <c r="O28" i="5"/>
  <c r="O27" i="5"/>
  <c r="O26" i="5"/>
  <c r="O25" i="5"/>
  <c r="O24" i="5"/>
  <c r="O23" i="5"/>
  <c r="O22" i="5"/>
  <c r="P21" i="5"/>
  <c r="O21" i="5"/>
  <c r="P17" i="5"/>
  <c r="O17" i="5"/>
  <c r="P14" i="5"/>
  <c r="O14" i="5"/>
  <c r="P11" i="5"/>
  <c r="O11" i="5"/>
  <c r="P8" i="5"/>
  <c r="O8" i="5"/>
  <c r="P20" i="5"/>
  <c r="O20" i="5"/>
  <c r="P18" i="5"/>
  <c r="O18" i="5"/>
  <c r="P15" i="5"/>
  <c r="O15" i="5"/>
  <c r="G96" i="2"/>
  <c r="H96" i="2"/>
  <c r="I96" i="2"/>
  <c r="J96" i="2"/>
  <c r="F96" i="2"/>
  <c r="P12" i="5"/>
  <c r="O12" i="5"/>
  <c r="P9" i="5"/>
  <c r="O9" i="5"/>
  <c r="P6" i="5"/>
  <c r="O6" i="5"/>
  <c r="N58" i="5"/>
  <c r="M58" i="5"/>
  <c r="N57" i="5"/>
  <c r="M57" i="5"/>
  <c r="N56" i="5"/>
  <c r="M56" i="5"/>
  <c r="N55" i="5"/>
  <c r="M55" i="5"/>
  <c r="N54" i="5"/>
  <c r="M54" i="5"/>
  <c r="N53" i="5"/>
  <c r="M53" i="5"/>
  <c r="N52" i="5"/>
  <c r="M52" i="5"/>
  <c r="N49" i="5"/>
  <c r="M49" i="5"/>
  <c r="N48" i="5"/>
  <c r="M48" i="5"/>
  <c r="M47" i="5"/>
  <c r="M46" i="5"/>
  <c r="M45" i="5"/>
  <c r="M44" i="5"/>
  <c r="M43" i="5"/>
  <c r="M42" i="5"/>
  <c r="M40" i="5"/>
  <c r="N39" i="5"/>
  <c r="M39" i="5"/>
  <c r="N38" i="5"/>
  <c r="M38" i="5"/>
  <c r="M37" i="5"/>
  <c r="M36" i="5"/>
  <c r="M35" i="5"/>
  <c r="M34" i="5"/>
  <c r="M33" i="5"/>
  <c r="M32" i="5"/>
  <c r="M31" i="5"/>
  <c r="N30" i="5"/>
  <c r="M30" i="5"/>
  <c r="N29" i="5"/>
  <c r="M29" i="5"/>
  <c r="M28" i="5"/>
  <c r="M27" i="5"/>
  <c r="M26" i="5"/>
  <c r="M25" i="5"/>
  <c r="M24" i="5"/>
  <c r="M23" i="5"/>
  <c r="M22" i="5"/>
  <c r="N21" i="5"/>
  <c r="M21" i="5"/>
  <c r="N20" i="5"/>
  <c r="M20" i="5"/>
  <c r="N8" i="5"/>
  <c r="M8" i="5"/>
  <c r="N19" i="5"/>
  <c r="M19" i="5"/>
  <c r="N18" i="5"/>
  <c r="M18" i="5"/>
  <c r="N15" i="5"/>
  <c r="M15" i="5"/>
  <c r="N12" i="5"/>
  <c r="M12" i="5"/>
  <c r="N9" i="5"/>
  <c r="M9" i="5"/>
  <c r="N7" i="5"/>
  <c r="M7" i="5"/>
  <c r="N6" i="5"/>
  <c r="M6" i="5"/>
  <c r="L54" i="5"/>
  <c r="K54" i="5"/>
  <c r="L53" i="5"/>
  <c r="L52" i="5"/>
  <c r="K53" i="5"/>
  <c r="K52" i="5"/>
  <c r="L49" i="5"/>
  <c r="K49" i="5"/>
  <c r="L48" i="5"/>
  <c r="K48" i="5"/>
  <c r="K47" i="5"/>
  <c r="K46" i="5"/>
  <c r="K45" i="5"/>
  <c r="K44" i="5"/>
  <c r="K43" i="5"/>
  <c r="K42" i="5"/>
  <c r="K40" i="5"/>
  <c r="L39" i="5"/>
  <c r="K39" i="5"/>
  <c r="K37" i="5"/>
  <c r="K36" i="5"/>
  <c r="K35" i="5"/>
  <c r="K34" i="5"/>
  <c r="K33" i="5"/>
  <c r="K32" i="5"/>
  <c r="K31" i="5"/>
  <c r="L30" i="5"/>
  <c r="K30" i="5"/>
  <c r="L29" i="5"/>
  <c r="K29" i="5"/>
  <c r="K28" i="5"/>
  <c r="K27" i="5"/>
  <c r="K26" i="5"/>
  <c r="K25" i="5"/>
  <c r="K24" i="5"/>
  <c r="K23" i="5"/>
  <c r="K22" i="5"/>
  <c r="L21" i="5"/>
  <c r="K21" i="5"/>
  <c r="L17" i="5"/>
  <c r="K17" i="5"/>
  <c r="L14" i="5"/>
  <c r="K14" i="5"/>
  <c r="L18" i="5"/>
  <c r="K18" i="5"/>
  <c r="L16" i="5"/>
  <c r="K16" i="5"/>
  <c r="L15" i="5"/>
  <c r="K15" i="5"/>
  <c r="L13" i="5"/>
  <c r="K13" i="5"/>
  <c r="L12" i="5"/>
  <c r="K12" i="5"/>
  <c r="J60" i="5"/>
  <c r="I60" i="5"/>
  <c r="J59" i="5"/>
  <c r="I59" i="5"/>
  <c r="J58" i="5"/>
  <c r="I58" i="5"/>
  <c r="J57" i="5"/>
  <c r="I57" i="5"/>
  <c r="J56" i="5"/>
  <c r="I56" i="5"/>
  <c r="J55" i="5"/>
  <c r="I55" i="5"/>
  <c r="J54" i="5"/>
  <c r="I54" i="5"/>
  <c r="J53" i="5"/>
  <c r="I53" i="5"/>
  <c r="J52" i="5"/>
  <c r="I52" i="5"/>
  <c r="J51" i="5"/>
  <c r="I51" i="5"/>
  <c r="C10" i="6" s="1"/>
  <c r="J50" i="5"/>
  <c r="I50" i="5"/>
  <c r="J49" i="5"/>
  <c r="I49" i="5"/>
  <c r="J48" i="5"/>
  <c r="I48" i="5"/>
  <c r="I47" i="5"/>
  <c r="I46" i="5"/>
  <c r="I45" i="5"/>
  <c r="I44" i="5"/>
  <c r="I43" i="5"/>
  <c r="I42" i="5"/>
  <c r="I40" i="5"/>
  <c r="J39" i="5"/>
  <c r="I39" i="5"/>
  <c r="J38" i="5"/>
  <c r="I38" i="5"/>
  <c r="I37" i="5"/>
  <c r="I36" i="5"/>
  <c r="I35" i="5"/>
  <c r="I34" i="5"/>
  <c r="I33" i="5"/>
  <c r="I32" i="5"/>
  <c r="I31" i="5"/>
  <c r="J30" i="5"/>
  <c r="I30" i="5"/>
  <c r="J29" i="5"/>
  <c r="I29" i="5"/>
  <c r="I28" i="5"/>
  <c r="I27" i="5"/>
  <c r="I26" i="5"/>
  <c r="I25" i="5"/>
  <c r="I24" i="5"/>
  <c r="I23" i="5"/>
  <c r="I22" i="5"/>
  <c r="J21" i="5"/>
  <c r="I21" i="5"/>
  <c r="J20" i="5"/>
  <c r="I20" i="5"/>
  <c r="J17" i="5"/>
  <c r="I17" i="5"/>
  <c r="J14" i="5"/>
  <c r="I14" i="5"/>
  <c r="J8" i="5"/>
  <c r="I8" i="5"/>
  <c r="J19" i="5"/>
  <c r="I19" i="5"/>
  <c r="J18" i="5"/>
  <c r="I18" i="5"/>
  <c r="J16" i="5"/>
  <c r="I16" i="5"/>
  <c r="J13" i="5"/>
  <c r="I13" i="5"/>
  <c r="J12" i="5"/>
  <c r="I12" i="5"/>
  <c r="J9" i="5"/>
  <c r="I9" i="5"/>
  <c r="J7" i="5"/>
  <c r="I7" i="5"/>
  <c r="J6" i="5"/>
  <c r="I6" i="5"/>
  <c r="H58" i="5"/>
  <c r="G58" i="5"/>
  <c r="H55" i="5"/>
  <c r="G55" i="5"/>
  <c r="H54" i="5"/>
  <c r="G54" i="5"/>
  <c r="H53" i="5"/>
  <c r="G53" i="5"/>
  <c r="H52" i="5"/>
  <c r="G52" i="5"/>
  <c r="H51" i="5"/>
  <c r="G51" i="5"/>
  <c r="B10" i="6" s="1"/>
  <c r="H50" i="5"/>
  <c r="G50" i="5"/>
  <c r="H49" i="5"/>
  <c r="G49" i="5"/>
  <c r="H48" i="5"/>
  <c r="G48" i="5"/>
  <c r="G47" i="5"/>
  <c r="G46" i="5"/>
  <c r="G45" i="5"/>
  <c r="G44" i="5"/>
  <c r="G43" i="5"/>
  <c r="G42" i="5"/>
  <c r="G40" i="5"/>
  <c r="H39" i="5"/>
  <c r="G39" i="5"/>
  <c r="H38" i="5"/>
  <c r="G38" i="5"/>
  <c r="G37" i="5"/>
  <c r="G36" i="5"/>
  <c r="G35" i="5"/>
  <c r="G34" i="5"/>
  <c r="G33" i="5"/>
  <c r="G32" i="5"/>
  <c r="G31" i="5"/>
  <c r="H30" i="5"/>
  <c r="H29" i="5"/>
  <c r="G29" i="5"/>
  <c r="G28" i="5"/>
  <c r="G27" i="5"/>
  <c r="G26" i="5"/>
  <c r="G25" i="5"/>
  <c r="G24" i="5"/>
  <c r="G23" i="5"/>
  <c r="G22" i="5"/>
  <c r="H21" i="5"/>
  <c r="G21" i="5"/>
  <c r="H20" i="5"/>
  <c r="G20" i="5"/>
  <c r="H17" i="5"/>
  <c r="G17" i="5"/>
  <c r="H14" i="5"/>
  <c r="G14" i="5"/>
  <c r="H19" i="5"/>
  <c r="G19" i="5"/>
  <c r="H18" i="5"/>
  <c r="G18" i="5"/>
  <c r="H16" i="5"/>
  <c r="G16" i="5"/>
  <c r="H15" i="5"/>
  <c r="G15" i="5"/>
  <c r="H13" i="5"/>
  <c r="G13" i="5"/>
  <c r="H12" i="5"/>
  <c r="G12" i="5"/>
  <c r="H9" i="5"/>
  <c r="G9" i="5"/>
  <c r="H6" i="5"/>
  <c r="G6" i="5"/>
  <c r="K19" i="2" l="1"/>
  <c r="BF57" i="2"/>
  <c r="BG57" i="2"/>
  <c r="L55" i="5" s="1"/>
  <c r="BH57" i="2"/>
  <c r="L56" i="5" s="1"/>
  <c r="BF56" i="2"/>
  <c r="BG56" i="2"/>
  <c r="K55" i="5" s="1"/>
  <c r="BH56" i="2"/>
  <c r="K56" i="5" s="1"/>
  <c r="BA57" i="2"/>
  <c r="BB57" i="2"/>
  <c r="BC57" i="2"/>
  <c r="AZ57" i="2"/>
  <c r="BA56" i="2"/>
  <c r="BB56" i="2"/>
  <c r="BC56" i="2"/>
  <c r="AZ56" i="2"/>
  <c r="AX58" i="2"/>
  <c r="AY63" i="2"/>
  <c r="AY62" i="2"/>
  <c r="AY61" i="2"/>
  <c r="AY60" i="2"/>
  <c r="AY59" i="2"/>
  <c r="AY58" i="2"/>
  <c r="AW57" i="2"/>
  <c r="AW56" i="2"/>
  <c r="AV57" i="2"/>
  <c r="AV56" i="2"/>
  <c r="AU58" i="2"/>
  <c r="AS57" i="2"/>
  <c r="AT57" i="2"/>
  <c r="AR57" i="2"/>
  <c r="AS56" i="2"/>
  <c r="AT56" i="2"/>
  <c r="AR56" i="2"/>
  <c r="AR55" i="2"/>
  <c r="AS55" i="2"/>
  <c r="AT55" i="2"/>
  <c r="AQ55" i="2"/>
  <c r="AP63" i="2"/>
  <c r="AP62" i="2"/>
  <c r="AP61" i="2"/>
  <c r="AP60" i="2"/>
  <c r="AP59" i="2"/>
  <c r="AP58" i="2"/>
  <c r="AO58" i="2"/>
  <c r="AJ57" i="2"/>
  <c r="AK57" i="2"/>
  <c r="AL57" i="2"/>
  <c r="AM57" i="2"/>
  <c r="AJ56" i="2"/>
  <c r="AK56" i="2"/>
  <c r="AL56" i="2"/>
  <c r="AM56" i="2"/>
  <c r="AI57" i="2"/>
  <c r="AJ55" i="2"/>
  <c r="AK55" i="2"/>
  <c r="AL55" i="2"/>
  <c r="AM55" i="2"/>
  <c r="AI56" i="2"/>
  <c r="AI55" i="2"/>
  <c r="AH63" i="2"/>
  <c r="AH62" i="2"/>
  <c r="AH61" i="2"/>
  <c r="AH60" i="2"/>
  <c r="AH59" i="2"/>
  <c r="AH58" i="2"/>
  <c r="AG58" i="2"/>
  <c r="AC57" i="2"/>
  <c r="AD57" i="2"/>
  <c r="AE57" i="2"/>
  <c r="AF57" i="2"/>
  <c r="AB57" i="2"/>
  <c r="AC56" i="2"/>
  <c r="AD56" i="2"/>
  <c r="AE56" i="2"/>
  <c r="AF56" i="2"/>
  <c r="AB56" i="2"/>
  <c r="AB55" i="2"/>
  <c r="AC55" i="2"/>
  <c r="AA55" i="2"/>
  <c r="S57" i="2"/>
  <c r="T57" i="2"/>
  <c r="X57" i="2"/>
  <c r="Y57" i="2"/>
  <c r="S56" i="2"/>
  <c r="T56" i="2"/>
  <c r="X56" i="2"/>
  <c r="Y56" i="2"/>
  <c r="M57" i="2"/>
  <c r="L10" i="5" s="1"/>
  <c r="N57" i="2"/>
  <c r="O57" i="2"/>
  <c r="P57" i="2"/>
  <c r="L19" i="5" s="1"/>
  <c r="L57" i="2"/>
  <c r="L7" i="5" s="1"/>
  <c r="M56" i="2"/>
  <c r="K10" i="5" s="1"/>
  <c r="N56" i="2"/>
  <c r="O56" i="2"/>
  <c r="P56" i="2"/>
  <c r="K19" i="5" s="1"/>
  <c r="L56" i="2"/>
  <c r="K7" i="5" s="1"/>
  <c r="E57" i="2"/>
  <c r="F57" i="2"/>
  <c r="L6" i="5" s="1"/>
  <c r="G57" i="2"/>
  <c r="L9" i="5" s="1"/>
  <c r="H57" i="2"/>
  <c r="I57" i="2"/>
  <c r="J57" i="2"/>
  <c r="D57" i="2"/>
  <c r="K55" i="2"/>
  <c r="E56" i="2"/>
  <c r="F56" i="2"/>
  <c r="K6" i="5" s="1"/>
  <c r="G56" i="2"/>
  <c r="K9" i="5" s="1"/>
  <c r="H56" i="2"/>
  <c r="I56" i="2"/>
  <c r="J56" i="2"/>
  <c r="J55" i="2"/>
  <c r="E55" i="2"/>
  <c r="F55" i="2"/>
  <c r="G55" i="2"/>
  <c r="H55" i="2"/>
  <c r="I55" i="2"/>
  <c r="D56" i="2"/>
  <c r="D55" i="2"/>
  <c r="BL68" i="2" l="1"/>
  <c r="BL69" i="2"/>
  <c r="BL71" i="2"/>
  <c r="BL72" i="2"/>
  <c r="BL73" i="2"/>
  <c r="BL74" i="2"/>
  <c r="BL46" i="2"/>
  <c r="BL26" i="2"/>
  <c r="BL27" i="2"/>
  <c r="BL28" i="2"/>
  <c r="BL29" i="2"/>
  <c r="BL31" i="2"/>
  <c r="BL32" i="2"/>
  <c r="BL33" i="2"/>
  <c r="BL34" i="2"/>
  <c r="BL25" i="2"/>
  <c r="BL8" i="2"/>
  <c r="BL9" i="2"/>
  <c r="BL10" i="2"/>
  <c r="BL11" i="2"/>
  <c r="BL12" i="2"/>
  <c r="BL14" i="2"/>
  <c r="BM46" i="2"/>
  <c r="BK46" i="2"/>
  <c r="BK47" i="2"/>
  <c r="BL47" i="2" s="1"/>
  <c r="BM47" i="2" s="1"/>
  <c r="BK50" i="2"/>
  <c r="BL50" i="2" s="1"/>
  <c r="BM50" i="2" s="1"/>
  <c r="BK53" i="2"/>
  <c r="BK54" i="2"/>
  <c r="BL54" i="2" s="1"/>
  <c r="BM54" i="2" s="1"/>
  <c r="BJ47" i="2"/>
  <c r="BJ48" i="2"/>
  <c r="BJ49" i="2"/>
  <c r="BJ50" i="2"/>
  <c r="BJ51" i="2"/>
  <c r="BJ52" i="2"/>
  <c r="BJ53" i="2"/>
  <c r="BL53" i="2" s="1"/>
  <c r="BM53" i="2" s="1"/>
  <c r="BJ54" i="2"/>
  <c r="BJ45" i="2"/>
  <c r="BI46" i="2"/>
  <c r="BI47" i="2"/>
  <c r="BI48" i="2"/>
  <c r="BI49" i="2"/>
  <c r="BI50" i="2"/>
  <c r="BI51" i="2"/>
  <c r="BI52" i="2"/>
  <c r="BI53" i="2"/>
  <c r="BI54" i="2"/>
  <c r="BI45" i="2"/>
  <c r="BE46" i="2"/>
  <c r="BE47" i="2"/>
  <c r="BE50" i="2"/>
  <c r="BE53" i="2"/>
  <c r="BE54" i="2"/>
  <c r="BD46" i="2"/>
  <c r="BD47" i="2"/>
  <c r="BD48" i="2"/>
  <c r="BE48" i="2" s="1"/>
  <c r="BD49" i="2"/>
  <c r="BK49" i="2" s="1"/>
  <c r="BL49" i="2" s="1"/>
  <c r="BM49" i="2" s="1"/>
  <c r="BD50" i="2"/>
  <c r="BD51" i="2"/>
  <c r="BK51" i="2" s="1"/>
  <c r="BL51" i="2" s="1"/>
  <c r="BM51" i="2" s="1"/>
  <c r="BD53" i="2"/>
  <c r="BD54" i="2"/>
  <c r="BD45" i="2"/>
  <c r="BK45" i="2" s="1"/>
  <c r="BL45" i="2" s="1"/>
  <c r="BC46" i="2"/>
  <c r="BC47" i="2"/>
  <c r="BC48" i="2"/>
  <c r="BC49" i="2"/>
  <c r="BC50" i="2"/>
  <c r="BC51" i="2"/>
  <c r="BC52" i="2"/>
  <c r="BC53" i="2"/>
  <c r="BC54" i="2"/>
  <c r="BB46" i="2"/>
  <c r="BB47" i="2"/>
  <c r="BB48" i="2"/>
  <c r="BB49" i="2"/>
  <c r="BB50" i="2"/>
  <c r="BB51" i="2"/>
  <c r="BB52" i="2"/>
  <c r="BB53" i="2"/>
  <c r="BB54" i="2"/>
  <c r="BB45" i="2"/>
  <c r="BB97" i="2"/>
  <c r="BB96" i="2"/>
  <c r="BB86" i="2"/>
  <c r="BB87" i="2"/>
  <c r="BB88" i="2"/>
  <c r="BB89" i="2"/>
  <c r="BB90" i="2"/>
  <c r="BB91" i="2"/>
  <c r="BB92" i="2"/>
  <c r="BB93" i="2"/>
  <c r="BB94" i="2"/>
  <c r="BB85" i="2"/>
  <c r="BB77" i="2"/>
  <c r="BB76" i="2"/>
  <c r="BB66" i="2"/>
  <c r="BB67" i="2"/>
  <c r="BB68" i="2"/>
  <c r="BB69" i="2"/>
  <c r="BB70" i="2"/>
  <c r="BB71" i="2"/>
  <c r="BB72" i="2"/>
  <c r="BB73" i="2"/>
  <c r="BB74" i="2"/>
  <c r="BB65" i="2"/>
  <c r="BB37" i="2"/>
  <c r="BB36" i="2"/>
  <c r="BB26" i="2"/>
  <c r="BB27" i="2"/>
  <c r="BB28" i="2"/>
  <c r="BB29" i="2"/>
  <c r="BB30" i="2"/>
  <c r="BB31" i="2"/>
  <c r="BB32" i="2"/>
  <c r="BB33" i="2"/>
  <c r="BB34" i="2"/>
  <c r="BB25" i="2"/>
  <c r="BB17" i="2"/>
  <c r="BB16" i="2"/>
  <c r="BB6" i="2"/>
  <c r="BB7" i="2"/>
  <c r="BB8" i="2"/>
  <c r="BB9" i="2"/>
  <c r="BB10" i="2"/>
  <c r="BB11" i="2"/>
  <c r="BB12" i="2"/>
  <c r="BB13" i="2"/>
  <c r="BB14" i="2"/>
  <c r="BB5" i="2"/>
  <c r="AW49" i="2"/>
  <c r="AW53" i="2"/>
  <c r="AT46" i="2"/>
  <c r="AW46" i="2" s="1"/>
  <c r="AT47" i="2"/>
  <c r="AW47" i="2" s="1"/>
  <c r="AT48" i="2"/>
  <c r="AW48" i="2" s="1"/>
  <c r="AT49" i="2"/>
  <c r="AT50" i="2"/>
  <c r="AW50" i="2" s="1"/>
  <c r="AT51" i="2"/>
  <c r="AW51" i="2" s="1"/>
  <c r="AT52" i="2"/>
  <c r="AW52" i="2" s="1"/>
  <c r="AT53" i="2"/>
  <c r="AT54" i="2"/>
  <c r="AW54" i="2" s="1"/>
  <c r="AT45" i="2"/>
  <c r="AW45" i="2" s="1"/>
  <c r="AN49" i="2"/>
  <c r="AN53" i="2"/>
  <c r="AL46" i="2"/>
  <c r="AN46" i="2" s="1"/>
  <c r="AL47" i="2"/>
  <c r="AN47" i="2" s="1"/>
  <c r="AL48" i="2"/>
  <c r="AL49" i="2"/>
  <c r="AL50" i="2"/>
  <c r="AN50" i="2" s="1"/>
  <c r="AL51" i="2"/>
  <c r="AN51" i="2" s="1"/>
  <c r="AL52" i="2"/>
  <c r="AN52" i="2" s="1"/>
  <c r="BD52" i="2" s="1"/>
  <c r="AL53" i="2"/>
  <c r="AL54" i="2"/>
  <c r="AN54" i="2" s="1"/>
  <c r="AL45" i="2"/>
  <c r="AN45" i="2" s="1"/>
  <c r="AF49" i="2"/>
  <c r="AF53" i="2"/>
  <c r="AD46" i="2"/>
  <c r="AF46" i="2" s="1"/>
  <c r="AD47" i="2"/>
  <c r="AF47" i="2" s="1"/>
  <c r="AD48" i="2"/>
  <c r="AF48" i="2" s="1"/>
  <c r="AD49" i="2"/>
  <c r="AD50" i="2"/>
  <c r="AF50" i="2" s="1"/>
  <c r="AD51" i="2"/>
  <c r="AF51" i="2" s="1"/>
  <c r="AD52" i="2"/>
  <c r="AF52" i="2" s="1"/>
  <c r="AD53" i="2"/>
  <c r="AD54" i="2"/>
  <c r="AF54" i="2" s="1"/>
  <c r="AD45" i="2"/>
  <c r="AF45" i="2" s="1"/>
  <c r="Z53" i="2"/>
  <c r="X49" i="2"/>
  <c r="X53" i="2"/>
  <c r="W47" i="2"/>
  <c r="V53" i="2"/>
  <c r="U46" i="2"/>
  <c r="Z46" i="2" s="1"/>
  <c r="U47" i="2"/>
  <c r="Z47" i="2" s="1"/>
  <c r="U48" i="2"/>
  <c r="Z48" i="2" s="1"/>
  <c r="U49" i="2"/>
  <c r="U50" i="2"/>
  <c r="Z50" i="2" s="1"/>
  <c r="U51" i="2"/>
  <c r="Z51" i="2" s="1"/>
  <c r="U52" i="2"/>
  <c r="Z52" i="2" s="1"/>
  <c r="U53" i="2"/>
  <c r="U54" i="2"/>
  <c r="Z54" i="2" s="1"/>
  <c r="U45" i="2"/>
  <c r="Z45" i="2" s="1"/>
  <c r="T54" i="2"/>
  <c r="Y54" i="2" s="1"/>
  <c r="S46" i="2"/>
  <c r="X46" i="2" s="1"/>
  <c r="S47" i="2"/>
  <c r="X47" i="2" s="1"/>
  <c r="S48" i="2"/>
  <c r="X48" i="2" s="1"/>
  <c r="S49" i="2"/>
  <c r="S50" i="2"/>
  <c r="X50" i="2" s="1"/>
  <c r="S51" i="2"/>
  <c r="X51" i="2" s="1"/>
  <c r="S52" i="2"/>
  <c r="X52" i="2" s="1"/>
  <c r="S53" i="2"/>
  <c r="S54" i="2"/>
  <c r="X54" i="2" s="1"/>
  <c r="S45" i="2"/>
  <c r="X45" i="2" s="1"/>
  <c r="R46" i="2"/>
  <c r="W46" i="2" s="1"/>
  <c r="R47" i="2"/>
  <c r="R48" i="2"/>
  <c r="R49" i="2"/>
  <c r="W49" i="2" s="1"/>
  <c r="R50" i="2"/>
  <c r="W50" i="2" s="1"/>
  <c r="R51" i="2"/>
  <c r="W51" i="2" s="1"/>
  <c r="R52" i="2"/>
  <c r="W52" i="2" s="1"/>
  <c r="R53" i="2"/>
  <c r="W53" i="2" s="1"/>
  <c r="R54" i="2"/>
  <c r="W54" i="2" s="1"/>
  <c r="R45" i="2"/>
  <c r="W45" i="2" s="1"/>
  <c r="Q46" i="2"/>
  <c r="V46" i="2" s="1"/>
  <c r="Q47" i="2"/>
  <c r="V47" i="2" s="1"/>
  <c r="Q48" i="2"/>
  <c r="V48" i="2" s="1"/>
  <c r="Q49" i="2"/>
  <c r="V49" i="2" s="1"/>
  <c r="Q50" i="2"/>
  <c r="V50" i="2" s="1"/>
  <c r="Q51" i="2"/>
  <c r="V51" i="2" s="1"/>
  <c r="Q52" i="2"/>
  <c r="V52" i="2" s="1"/>
  <c r="Q53" i="2"/>
  <c r="Q54" i="2"/>
  <c r="V54" i="2" s="1"/>
  <c r="Q45" i="2"/>
  <c r="O54" i="2"/>
  <c r="O46" i="2"/>
  <c r="T46" i="2" s="1"/>
  <c r="Y46" i="2" s="1"/>
  <c r="O47" i="2"/>
  <c r="O48" i="2"/>
  <c r="T48" i="2" s="1"/>
  <c r="Y48" i="2" s="1"/>
  <c r="O49" i="2"/>
  <c r="O50" i="2"/>
  <c r="T50" i="2" s="1"/>
  <c r="Y50" i="2" s="1"/>
  <c r="O51" i="2"/>
  <c r="O52" i="2"/>
  <c r="T52" i="2" s="1"/>
  <c r="Y52" i="2" s="1"/>
  <c r="O53" i="2"/>
  <c r="O45" i="2"/>
  <c r="I46" i="2"/>
  <c r="I47" i="2"/>
  <c r="I48" i="2"/>
  <c r="I49" i="2"/>
  <c r="I50" i="2"/>
  <c r="I51" i="2"/>
  <c r="I52" i="2"/>
  <c r="I53" i="2"/>
  <c r="I54" i="2"/>
  <c r="I45" i="2"/>
  <c r="E46" i="2"/>
  <c r="E47" i="2"/>
  <c r="E48" i="2"/>
  <c r="E49" i="2"/>
  <c r="E50" i="2"/>
  <c r="E51" i="2"/>
  <c r="E52" i="2"/>
  <c r="E53" i="2"/>
  <c r="E54" i="2"/>
  <c r="E45" i="2"/>
  <c r="W48" i="2" l="1"/>
  <c r="R56" i="2"/>
  <c r="R57" i="2"/>
  <c r="V45" i="2"/>
  <c r="Q57" i="2"/>
  <c r="Q56" i="2"/>
  <c r="BE52" i="2"/>
  <c r="BK52" i="2"/>
  <c r="BL52" i="2" s="1"/>
  <c r="BM52" i="2" s="1"/>
  <c r="AN57" i="2"/>
  <c r="L38" i="5" s="1"/>
  <c r="AN55" i="2"/>
  <c r="AN56" i="2"/>
  <c r="K38" i="5" s="1"/>
  <c r="BE51" i="2"/>
  <c r="BK48" i="2"/>
  <c r="BL48" i="2" s="1"/>
  <c r="BM48" i="2" s="1"/>
  <c r="BE45" i="2"/>
  <c r="BE49" i="2"/>
  <c r="BD56" i="2"/>
  <c r="K50" i="5" s="1"/>
  <c r="BD57" i="2"/>
  <c r="L50" i="5" s="1"/>
  <c r="U56" i="2"/>
  <c r="U57" i="2"/>
  <c r="Z49" i="2"/>
  <c r="BJ57" i="2"/>
  <c r="L58" i="5" s="1"/>
  <c r="BJ56" i="2"/>
  <c r="K58" i="5" s="1"/>
  <c r="BI57" i="2"/>
  <c r="L57" i="5" s="1"/>
  <c r="BI56" i="2"/>
  <c r="K57" i="5" s="1"/>
  <c r="D12" i="6" s="1"/>
  <c r="BK57" i="2"/>
  <c r="L59" i="5" s="1"/>
  <c r="T51" i="2"/>
  <c r="Y51" i="2" s="1"/>
  <c r="T47" i="2"/>
  <c r="Y47" i="2" s="1"/>
  <c r="T45" i="2"/>
  <c r="Y45" i="2" s="1"/>
  <c r="T53" i="2"/>
  <c r="Y53" i="2" s="1"/>
  <c r="T49" i="2"/>
  <c r="Y49" i="2" s="1"/>
  <c r="W56" i="2" l="1"/>
  <c r="K11" i="5" s="1"/>
  <c r="D7" i="6" s="1"/>
  <c r="W57" i="2"/>
  <c r="L11" i="5" s="1"/>
  <c r="V56" i="2"/>
  <c r="K8" i="5" s="1"/>
  <c r="D6" i="6" s="1"/>
  <c r="V57" i="2"/>
  <c r="L8" i="5" s="1"/>
  <c r="BK56" i="2"/>
  <c r="K59" i="5" s="1"/>
  <c r="Z57" i="2"/>
  <c r="L20" i="5" s="1"/>
  <c r="Z56" i="2"/>
  <c r="K20" i="5" s="1"/>
  <c r="D9" i="6" s="1"/>
  <c r="BE56" i="2"/>
  <c r="K51" i="5" s="1"/>
  <c r="D10" i="6" s="1"/>
  <c r="BE57" i="2"/>
  <c r="L51" i="5" s="1"/>
  <c r="BL57" i="2"/>
  <c r="BL56" i="2"/>
  <c r="BM45" i="2"/>
  <c r="BI86" i="2"/>
  <c r="BI87" i="2"/>
  <c r="BI88" i="2"/>
  <c r="BI89" i="2"/>
  <c r="BI90" i="2"/>
  <c r="BI91" i="2"/>
  <c r="BI92" i="2"/>
  <c r="BI93" i="2"/>
  <c r="BI94" i="2"/>
  <c r="BI85" i="2"/>
  <c r="BI97" i="2" s="1"/>
  <c r="BG97" i="2"/>
  <c r="BH97" i="2"/>
  <c r="BF97" i="2"/>
  <c r="BA97" i="2"/>
  <c r="AZ97" i="2"/>
  <c r="AY103" i="2"/>
  <c r="AY102" i="2"/>
  <c r="AY101" i="2"/>
  <c r="AY100" i="2"/>
  <c r="AY99" i="2"/>
  <c r="AY98" i="2"/>
  <c r="AP103" i="2"/>
  <c r="AP102" i="2"/>
  <c r="AP101" i="2"/>
  <c r="AP100" i="2"/>
  <c r="AP99" i="2"/>
  <c r="AV97" i="2"/>
  <c r="AS97" i="2"/>
  <c r="AS96" i="2"/>
  <c r="AM97" i="2"/>
  <c r="AM96" i="2"/>
  <c r="AK97" i="2"/>
  <c r="AK96" i="2"/>
  <c r="AK95" i="2"/>
  <c r="AH103" i="2"/>
  <c r="AH102" i="2"/>
  <c r="AH101" i="2"/>
  <c r="AH100" i="2"/>
  <c r="AH99" i="2"/>
  <c r="AH98" i="2"/>
  <c r="AE97" i="2"/>
  <c r="AC97" i="2"/>
  <c r="AC96" i="2"/>
  <c r="X87" i="2"/>
  <c r="X94" i="2"/>
  <c r="U86" i="2"/>
  <c r="Z86" i="2" s="1"/>
  <c r="U87" i="2"/>
  <c r="Z87" i="2" s="1"/>
  <c r="U88" i="2"/>
  <c r="Z88" i="2" s="1"/>
  <c r="U89" i="2"/>
  <c r="Z89" i="2" s="1"/>
  <c r="U90" i="2"/>
  <c r="Z90" i="2" s="1"/>
  <c r="U91" i="2"/>
  <c r="Z91" i="2" s="1"/>
  <c r="U92" i="2"/>
  <c r="Z92" i="2" s="1"/>
  <c r="U93" i="2"/>
  <c r="Z93" i="2" s="1"/>
  <c r="U94" i="2"/>
  <c r="Z94" i="2" s="1"/>
  <c r="U85" i="2"/>
  <c r="Z85" i="2" s="1"/>
  <c r="S86" i="2"/>
  <c r="X85" i="2" s="1"/>
  <c r="S87" i="2"/>
  <c r="X86" i="2" s="1"/>
  <c r="S88" i="2"/>
  <c r="S89" i="2"/>
  <c r="X88" i="2" s="1"/>
  <c r="S90" i="2"/>
  <c r="X89" i="2" s="1"/>
  <c r="S91" i="2"/>
  <c r="X90" i="2" s="1"/>
  <c r="S92" i="2"/>
  <c r="X91" i="2" s="1"/>
  <c r="S93" i="2"/>
  <c r="X92" i="2" s="1"/>
  <c r="S94" i="2"/>
  <c r="X93" i="2" s="1"/>
  <c r="S85" i="2"/>
  <c r="R86" i="2"/>
  <c r="W86" i="2" s="1"/>
  <c r="R87" i="2"/>
  <c r="W87" i="2" s="1"/>
  <c r="R88" i="2"/>
  <c r="W88" i="2" s="1"/>
  <c r="R89" i="2"/>
  <c r="W89" i="2" s="1"/>
  <c r="R90" i="2"/>
  <c r="W90" i="2" s="1"/>
  <c r="R91" i="2"/>
  <c r="W91" i="2" s="1"/>
  <c r="R92" i="2"/>
  <c r="W92" i="2" s="1"/>
  <c r="R93" i="2"/>
  <c r="W93" i="2" s="1"/>
  <c r="R94" i="2"/>
  <c r="W94" i="2" s="1"/>
  <c r="R85" i="2"/>
  <c r="Q86" i="2"/>
  <c r="V86" i="2" s="1"/>
  <c r="Q87" i="2"/>
  <c r="V87" i="2" s="1"/>
  <c r="Q88" i="2"/>
  <c r="V88" i="2" s="1"/>
  <c r="Q89" i="2"/>
  <c r="V89" i="2" s="1"/>
  <c r="Q90" i="2"/>
  <c r="V90" i="2" s="1"/>
  <c r="Q91" i="2"/>
  <c r="V91" i="2" s="1"/>
  <c r="Q92" i="2"/>
  <c r="V92" i="2" s="1"/>
  <c r="Q93" i="2"/>
  <c r="V93" i="2" s="1"/>
  <c r="Q94" i="2"/>
  <c r="V94" i="2" s="1"/>
  <c r="Q85" i="2"/>
  <c r="Q97" i="2" s="1"/>
  <c r="M97" i="2"/>
  <c r="P10" i="5" s="1"/>
  <c r="N97" i="2"/>
  <c r="P13" i="5" s="1"/>
  <c r="P97" i="2"/>
  <c r="P19" i="5" s="1"/>
  <c r="L97" i="2"/>
  <c r="P7" i="5" s="1"/>
  <c r="F97" i="2"/>
  <c r="G97" i="2"/>
  <c r="H97" i="2"/>
  <c r="J97" i="2"/>
  <c r="D97" i="2"/>
  <c r="D96" i="2"/>
  <c r="BH77" i="2"/>
  <c r="BG77" i="2"/>
  <c r="BF77" i="2"/>
  <c r="BA77" i="2"/>
  <c r="AZ77" i="2"/>
  <c r="AX78" i="2"/>
  <c r="BI66" i="2"/>
  <c r="BI67" i="2"/>
  <c r="BI68" i="2"/>
  <c r="BI69" i="2"/>
  <c r="BI70" i="2"/>
  <c r="BI71" i="2"/>
  <c r="BI72" i="2"/>
  <c r="BI73" i="2"/>
  <c r="BI74" i="2"/>
  <c r="BI65" i="2"/>
  <c r="BI76" i="2" s="1"/>
  <c r="AH83" i="2"/>
  <c r="AH82" i="2"/>
  <c r="AH81" i="2"/>
  <c r="AH80" i="2"/>
  <c r="AH79" i="2"/>
  <c r="AP83" i="2"/>
  <c r="AP82" i="2"/>
  <c r="AP81" i="2"/>
  <c r="AP80" i="2"/>
  <c r="AM77" i="2"/>
  <c r="AY83" i="2"/>
  <c r="AY82" i="2"/>
  <c r="AY81" i="2"/>
  <c r="AY80" i="2"/>
  <c r="AY79" i="2"/>
  <c r="AY78" i="2"/>
  <c r="AV77" i="2"/>
  <c r="AS77" i="2"/>
  <c r="AS76" i="2"/>
  <c r="BM57" i="2" l="1"/>
  <c r="L60" i="5" s="1"/>
  <c r="BM56" i="2"/>
  <c r="K60" i="5" s="1"/>
  <c r="D13" i="6" s="1"/>
  <c r="S97" i="2"/>
  <c r="R96" i="2"/>
  <c r="Z97" i="2"/>
  <c r="Z96" i="2"/>
  <c r="X97" i="2"/>
  <c r="V85" i="2"/>
  <c r="BI77" i="2"/>
  <c r="U96" i="2"/>
  <c r="Q96" i="2"/>
  <c r="R97" i="2"/>
  <c r="W85" i="2"/>
  <c r="S96" i="2"/>
  <c r="X96" i="2"/>
  <c r="U97" i="2"/>
  <c r="BI96" i="2"/>
  <c r="AE77" i="2"/>
  <c r="X66" i="2"/>
  <c r="X67" i="2"/>
  <c r="X71" i="2"/>
  <c r="X74" i="2"/>
  <c r="U66" i="2"/>
  <c r="Z66" i="2" s="1"/>
  <c r="U67" i="2"/>
  <c r="Z67" i="2" s="1"/>
  <c r="U68" i="2"/>
  <c r="Z68" i="2" s="1"/>
  <c r="U69" i="2"/>
  <c r="Z69" i="2" s="1"/>
  <c r="U70" i="2"/>
  <c r="Z70" i="2" s="1"/>
  <c r="U71" i="2"/>
  <c r="Z71" i="2" s="1"/>
  <c r="U72" i="2"/>
  <c r="Z72" i="2" s="1"/>
  <c r="U73" i="2"/>
  <c r="Z73" i="2" s="1"/>
  <c r="U74" i="2"/>
  <c r="Z74" i="2" s="1"/>
  <c r="U65" i="2"/>
  <c r="Z65" i="2" s="1"/>
  <c r="S66" i="2"/>
  <c r="S67" i="2"/>
  <c r="S68" i="2"/>
  <c r="X68" i="2" s="1"/>
  <c r="S69" i="2"/>
  <c r="X69" i="2" s="1"/>
  <c r="S70" i="2"/>
  <c r="X70" i="2" s="1"/>
  <c r="S71" i="2"/>
  <c r="S72" i="2"/>
  <c r="X72" i="2" s="1"/>
  <c r="S73" i="2"/>
  <c r="X73" i="2" s="1"/>
  <c r="S74" i="2"/>
  <c r="S65" i="2"/>
  <c r="S77" i="2" s="1"/>
  <c r="R66" i="2"/>
  <c r="W66" i="2" s="1"/>
  <c r="R67" i="2"/>
  <c r="W67" i="2" s="1"/>
  <c r="R68" i="2"/>
  <c r="W68" i="2" s="1"/>
  <c r="R69" i="2"/>
  <c r="W69" i="2" s="1"/>
  <c r="R70" i="2"/>
  <c r="W70" i="2" s="1"/>
  <c r="R71" i="2"/>
  <c r="W71" i="2" s="1"/>
  <c r="R72" i="2"/>
  <c r="W72" i="2" s="1"/>
  <c r="R73" i="2"/>
  <c r="W73" i="2" s="1"/>
  <c r="R74" i="2"/>
  <c r="W74" i="2" s="1"/>
  <c r="R65" i="2"/>
  <c r="W65" i="2" s="1"/>
  <c r="Q66" i="2"/>
  <c r="V66" i="2" s="1"/>
  <c r="Q67" i="2"/>
  <c r="V67" i="2" s="1"/>
  <c r="Q68" i="2"/>
  <c r="V68" i="2" s="1"/>
  <c r="Q69" i="2"/>
  <c r="V69" i="2" s="1"/>
  <c r="Q70" i="2"/>
  <c r="V70" i="2" s="1"/>
  <c r="Q71" i="2"/>
  <c r="V71" i="2" s="1"/>
  <c r="Q72" i="2"/>
  <c r="V72" i="2" s="1"/>
  <c r="Q73" i="2"/>
  <c r="V73" i="2" s="1"/>
  <c r="Q74" i="2"/>
  <c r="V74" i="2" s="1"/>
  <c r="Q65" i="2"/>
  <c r="V65" i="2" s="1"/>
  <c r="M77" i="2"/>
  <c r="N10" i="5" s="1"/>
  <c r="N77" i="2"/>
  <c r="N13" i="5" s="1"/>
  <c r="P77" i="2"/>
  <c r="L77" i="2"/>
  <c r="F77" i="2"/>
  <c r="G77" i="2"/>
  <c r="H77" i="2"/>
  <c r="J77" i="2"/>
  <c r="D77" i="2"/>
  <c r="BI26" i="2"/>
  <c r="BI27" i="2"/>
  <c r="BI28" i="2"/>
  <c r="BI29" i="2"/>
  <c r="BI30" i="2"/>
  <c r="BI31" i="2"/>
  <c r="BI32" i="2"/>
  <c r="BI33" i="2"/>
  <c r="BI34" i="2"/>
  <c r="BI25" i="2"/>
  <c r="BF37" i="2"/>
  <c r="BG37" i="2"/>
  <c r="BH37" i="2"/>
  <c r="AP43" i="2"/>
  <c r="AP42" i="2"/>
  <c r="AP41" i="2"/>
  <c r="AP40" i="2"/>
  <c r="AP39" i="2"/>
  <c r="AY43" i="2"/>
  <c r="AY42" i="2"/>
  <c r="AY41" i="2"/>
  <c r="AY40" i="2"/>
  <c r="AY39" i="2"/>
  <c r="AS36" i="2"/>
  <c r="AP35" i="2"/>
  <c r="AM37" i="2"/>
  <c r="AK37" i="2"/>
  <c r="AK36" i="2"/>
  <c r="AH43" i="2"/>
  <c r="AH42" i="2"/>
  <c r="AH41" i="2"/>
  <c r="AH40" i="2"/>
  <c r="AH39" i="2"/>
  <c r="AE37" i="2"/>
  <c r="AC37" i="2"/>
  <c r="AA37" i="2"/>
  <c r="AA36" i="2"/>
  <c r="AA35" i="2"/>
  <c r="X65" i="2" l="1"/>
  <c r="X77" i="2" s="1"/>
  <c r="N14" i="5" s="1"/>
  <c r="V77" i="2"/>
  <c r="V76" i="2"/>
  <c r="Z77" i="2"/>
  <c r="Z76" i="2"/>
  <c r="W77" i="2"/>
  <c r="N11" i="5" s="1"/>
  <c r="W76" i="2"/>
  <c r="M11" i="5" s="1"/>
  <c r="E7" i="6" s="1"/>
  <c r="S76" i="2"/>
  <c r="X76" i="2"/>
  <c r="M14" i="5" s="1"/>
  <c r="E8" i="6" s="1"/>
  <c r="V97" i="2"/>
  <c r="V96" i="2"/>
  <c r="R76" i="2"/>
  <c r="U76" i="2"/>
  <c r="Q76" i="2"/>
  <c r="R77" i="2"/>
  <c r="U77" i="2"/>
  <c r="Q77" i="2"/>
  <c r="W96" i="2"/>
  <c r="W97" i="2"/>
  <c r="BI37" i="2"/>
  <c r="BI36" i="2"/>
  <c r="U26" i="2"/>
  <c r="Z26" i="2" s="1"/>
  <c r="U27" i="2"/>
  <c r="Z27" i="2" s="1"/>
  <c r="U28" i="2"/>
  <c r="Z28" i="2" s="1"/>
  <c r="U29" i="2"/>
  <c r="U30" i="2"/>
  <c r="Z30" i="2" s="1"/>
  <c r="U31" i="2"/>
  <c r="Z31" i="2" s="1"/>
  <c r="U32" i="2"/>
  <c r="Z32" i="2" s="1"/>
  <c r="U33" i="2"/>
  <c r="Z33" i="2" s="1"/>
  <c r="U34" i="2"/>
  <c r="Z34" i="2" s="1"/>
  <c r="U25" i="2"/>
  <c r="Z25" i="2" s="1"/>
  <c r="S26" i="2"/>
  <c r="X26" i="2" s="1"/>
  <c r="S27" i="2"/>
  <c r="X27" i="2" s="1"/>
  <c r="S28" i="2"/>
  <c r="X28" i="2" s="1"/>
  <c r="S29" i="2"/>
  <c r="X29" i="2" s="1"/>
  <c r="S30" i="2"/>
  <c r="X30" i="2" s="1"/>
  <c r="S31" i="2"/>
  <c r="X31" i="2" s="1"/>
  <c r="S32" i="2"/>
  <c r="X32" i="2" s="1"/>
  <c r="S33" i="2"/>
  <c r="X33" i="2" s="1"/>
  <c r="S34" i="2"/>
  <c r="X34" i="2" s="1"/>
  <c r="S25" i="2"/>
  <c r="X25" i="2" s="1"/>
  <c r="R26" i="2"/>
  <c r="W26" i="2" s="1"/>
  <c r="R27" i="2"/>
  <c r="W27" i="2" s="1"/>
  <c r="R28" i="2"/>
  <c r="W28" i="2" s="1"/>
  <c r="R29" i="2"/>
  <c r="W29" i="2" s="1"/>
  <c r="R30" i="2"/>
  <c r="W30" i="2" s="1"/>
  <c r="R31" i="2"/>
  <c r="W31" i="2" s="1"/>
  <c r="R32" i="2"/>
  <c r="W32" i="2" s="1"/>
  <c r="R33" i="2"/>
  <c r="W33" i="2" s="1"/>
  <c r="R34" i="2"/>
  <c r="W34" i="2" s="1"/>
  <c r="R25" i="2"/>
  <c r="Q26" i="2"/>
  <c r="V26" i="2" s="1"/>
  <c r="Q27" i="2"/>
  <c r="V27" i="2" s="1"/>
  <c r="Q28" i="2"/>
  <c r="V28" i="2" s="1"/>
  <c r="Q29" i="2"/>
  <c r="V29" i="2" s="1"/>
  <c r="Q30" i="2"/>
  <c r="V30" i="2" s="1"/>
  <c r="Q31" i="2"/>
  <c r="V31" i="2" s="1"/>
  <c r="Q32" i="2"/>
  <c r="V32" i="2" s="1"/>
  <c r="Q33" i="2"/>
  <c r="V33" i="2" s="1"/>
  <c r="Q34" i="2"/>
  <c r="V34" i="2" s="1"/>
  <c r="Q25" i="2"/>
  <c r="V25" i="2" s="1"/>
  <c r="L37" i="2"/>
  <c r="M37" i="2"/>
  <c r="J10" i="5" s="1"/>
  <c r="N37" i="2"/>
  <c r="P37" i="2"/>
  <c r="L35" i="2"/>
  <c r="M35" i="2"/>
  <c r="N35" i="2"/>
  <c r="P35" i="2"/>
  <c r="K35" i="2"/>
  <c r="J35" i="2"/>
  <c r="K37" i="2"/>
  <c r="J37" i="2"/>
  <c r="F35" i="2"/>
  <c r="G35" i="2"/>
  <c r="H35" i="2"/>
  <c r="H37" i="2"/>
  <c r="G37" i="2"/>
  <c r="F37" i="2"/>
  <c r="D37" i="2"/>
  <c r="BA37" i="2"/>
  <c r="AZ37" i="2"/>
  <c r="AV37" i="2"/>
  <c r="AY23" i="2"/>
  <c r="AY22" i="2"/>
  <c r="AY21" i="2"/>
  <c r="AY20" i="2"/>
  <c r="AP23" i="2"/>
  <c r="AP22" i="2"/>
  <c r="AP21" i="2"/>
  <c r="AP20" i="2"/>
  <c r="AP19" i="2"/>
  <c r="AP18" i="2"/>
  <c r="AH23" i="2"/>
  <c r="AH22" i="2"/>
  <c r="AH21" i="2"/>
  <c r="AH20" i="2"/>
  <c r="R35" i="2" l="1"/>
  <c r="U37" i="2"/>
  <c r="W36" i="2"/>
  <c r="I11" i="5" s="1"/>
  <c r="V37" i="2"/>
  <c r="V36" i="2"/>
  <c r="X37" i="2"/>
  <c r="X36" i="2"/>
  <c r="U35" i="2"/>
  <c r="Z29" i="2"/>
  <c r="Z36" i="2" s="1"/>
  <c r="Q35" i="2"/>
  <c r="R36" i="2"/>
  <c r="S37" i="2"/>
  <c r="U36" i="2"/>
  <c r="Q36" i="2"/>
  <c r="R37" i="2"/>
  <c r="W25" i="2"/>
  <c r="W37" i="2" s="1"/>
  <c r="J11" i="5" s="1"/>
  <c r="S35" i="2"/>
  <c r="Q37" i="2"/>
  <c r="S36" i="2"/>
  <c r="BI6" i="2"/>
  <c r="BI7" i="2"/>
  <c r="BI8" i="2"/>
  <c r="BI9" i="2"/>
  <c r="BI10" i="2"/>
  <c r="BI11" i="2"/>
  <c r="BI12" i="2"/>
  <c r="BI13" i="2"/>
  <c r="BI14" i="2"/>
  <c r="BI5" i="2"/>
  <c r="AV17" i="2"/>
  <c r="R8" i="2"/>
  <c r="W8" i="2" s="1"/>
  <c r="BH17" i="2"/>
  <c r="H56" i="5" s="1"/>
  <c r="BG17" i="2"/>
  <c r="BA17" i="2"/>
  <c r="BF17" i="2"/>
  <c r="AZ17" i="2"/>
  <c r="AM17" i="2"/>
  <c r="AQ15" i="2"/>
  <c r="AO15" i="2"/>
  <c r="AP15" i="2"/>
  <c r="AI15" i="2"/>
  <c r="AJ15" i="2"/>
  <c r="AK15" i="2"/>
  <c r="AM15" i="2"/>
  <c r="Z37" i="2" l="1"/>
  <c r="BI17" i="2"/>
  <c r="H57" i="5" s="1"/>
  <c r="BI16" i="2"/>
  <c r="G57" i="5" s="1"/>
  <c r="B12" i="6" s="1"/>
  <c r="AE17" i="2"/>
  <c r="AC17" i="2"/>
  <c r="AB16" i="2"/>
  <c r="AA16" i="2"/>
  <c r="G15" i="2"/>
  <c r="F15" i="2"/>
  <c r="K17" i="2"/>
  <c r="J15" i="2"/>
  <c r="K15" i="2"/>
  <c r="L15" i="2"/>
  <c r="M15" i="2"/>
  <c r="N15" i="2"/>
  <c r="AA15" i="2"/>
  <c r="AB15" i="2"/>
  <c r="AC15" i="2"/>
  <c r="AE15" i="2"/>
  <c r="H15" i="2"/>
  <c r="M17" i="2"/>
  <c r="H10" i="5" s="1"/>
  <c r="N17" i="2"/>
  <c r="P17" i="2"/>
  <c r="L17" i="2"/>
  <c r="H7" i="5" s="1"/>
  <c r="F17" i="2"/>
  <c r="G17" i="2"/>
  <c r="H17" i="2"/>
  <c r="J17" i="2"/>
  <c r="D17" i="2"/>
  <c r="U6" i="2"/>
  <c r="Z6" i="2" s="1"/>
  <c r="U7" i="2"/>
  <c r="Z7" i="2" s="1"/>
  <c r="U8" i="2"/>
  <c r="Z8" i="2" s="1"/>
  <c r="U9" i="2"/>
  <c r="Z9" i="2" s="1"/>
  <c r="U10" i="2"/>
  <c r="Z10" i="2" s="1"/>
  <c r="U11" i="2"/>
  <c r="Z11" i="2" s="1"/>
  <c r="U12" i="2"/>
  <c r="Z12" i="2" s="1"/>
  <c r="U13" i="2"/>
  <c r="Z13" i="2" s="1"/>
  <c r="U14" i="2"/>
  <c r="Z14" i="2" s="1"/>
  <c r="U5" i="2"/>
  <c r="S6" i="2"/>
  <c r="X6" i="2" s="1"/>
  <c r="S7" i="2"/>
  <c r="X7" i="2" s="1"/>
  <c r="S8" i="2"/>
  <c r="X8" i="2" s="1"/>
  <c r="S9" i="2"/>
  <c r="X9" i="2" s="1"/>
  <c r="S10" i="2"/>
  <c r="X10" i="2" s="1"/>
  <c r="S11" i="2"/>
  <c r="X11" i="2" s="1"/>
  <c r="S12" i="2"/>
  <c r="X12" i="2" s="1"/>
  <c r="S13" i="2"/>
  <c r="X13" i="2" s="1"/>
  <c r="S14" i="2"/>
  <c r="X14" i="2" s="1"/>
  <c r="S5" i="2"/>
  <c r="X5" i="2" s="1"/>
  <c r="R6" i="2"/>
  <c r="W6" i="2" s="1"/>
  <c r="R7" i="2"/>
  <c r="W7" i="2" s="1"/>
  <c r="R9" i="2"/>
  <c r="W9" i="2" s="1"/>
  <c r="R10" i="2"/>
  <c r="W10" i="2" s="1"/>
  <c r="R11" i="2"/>
  <c r="W11" i="2" s="1"/>
  <c r="R12" i="2"/>
  <c r="W12" i="2" s="1"/>
  <c r="R13" i="2"/>
  <c r="W13" i="2" s="1"/>
  <c r="R14" i="2"/>
  <c r="W14" i="2" s="1"/>
  <c r="W5" i="2"/>
  <c r="Q6" i="2"/>
  <c r="V6" i="2" s="1"/>
  <c r="Q7" i="2"/>
  <c r="V7" i="2" s="1"/>
  <c r="Q8" i="2"/>
  <c r="V8" i="2" s="1"/>
  <c r="Q9" i="2"/>
  <c r="V9" i="2" s="1"/>
  <c r="Q10" i="2"/>
  <c r="V10" i="2" s="1"/>
  <c r="Q11" i="2"/>
  <c r="V11" i="2" s="1"/>
  <c r="Q12" i="2"/>
  <c r="V12" i="2" s="1"/>
  <c r="Q13" i="2"/>
  <c r="V13" i="2" s="1"/>
  <c r="Q14" i="2"/>
  <c r="V14" i="2" s="1"/>
  <c r="Q5" i="2"/>
  <c r="V5" i="2" s="1"/>
  <c r="U15" i="2" l="1"/>
  <c r="Z5" i="2"/>
  <c r="R15" i="2"/>
  <c r="X17" i="2"/>
  <c r="X16" i="2"/>
  <c r="W16" i="2"/>
  <c r="G11" i="5" s="1"/>
  <c r="B7" i="6" s="1"/>
  <c r="W17" i="2"/>
  <c r="H11" i="5" s="1"/>
  <c r="V17" i="2"/>
  <c r="H8" i="5" s="1"/>
  <c r="V16" i="2"/>
  <c r="G8" i="5" s="1"/>
  <c r="B6" i="6" s="1"/>
  <c r="S16" i="2"/>
  <c r="Q15" i="2"/>
  <c r="S17" i="2"/>
  <c r="S15" i="2"/>
  <c r="R16" i="2"/>
  <c r="R17" i="2"/>
  <c r="U17" i="2"/>
  <c r="Q16" i="2"/>
  <c r="Q17" i="2"/>
  <c r="U16" i="2"/>
  <c r="D16" i="4"/>
  <c r="D12" i="4"/>
  <c r="T65" i="1"/>
  <c r="D18" i="4" s="1"/>
  <c r="T64" i="1"/>
  <c r="D17" i="4" s="1"/>
  <c r="T63" i="1"/>
  <c r="T62" i="1"/>
  <c r="D15" i="4" s="1"/>
  <c r="T61" i="1"/>
  <c r="D14" i="4" s="1"/>
  <c r="T59" i="1"/>
  <c r="T60" i="1"/>
  <c r="D13" i="4" s="1"/>
  <c r="T58" i="1"/>
  <c r="D11" i="4" s="1"/>
  <c r="F62" i="1"/>
  <c r="E14" i="3" s="1"/>
  <c r="F61" i="1"/>
  <c r="E13" i="3" s="1"/>
  <c r="E59" i="1"/>
  <c r="E9" i="3" s="1"/>
  <c r="E58" i="1"/>
  <c r="E8" i="3" s="1"/>
  <c r="Z16" i="2" l="1"/>
  <c r="Z17" i="2"/>
  <c r="BA96" i="2"/>
  <c r="BF96" i="2"/>
  <c r="BG96" i="2"/>
  <c r="BH96" i="2"/>
  <c r="AZ96" i="2"/>
  <c r="AX98" i="2"/>
  <c r="AV96" i="2"/>
  <c r="AU98" i="2"/>
  <c r="AS95" i="2"/>
  <c r="AS100" i="2"/>
  <c r="AS99" i="2"/>
  <c r="AS98" i="2"/>
  <c r="AQ98" i="2"/>
  <c r="AP95" i="2"/>
  <c r="AP98" i="2"/>
  <c r="AO98" i="2"/>
  <c r="AK101" i="2"/>
  <c r="AK100" i="2"/>
  <c r="AK99" i="2"/>
  <c r="AK98" i="2"/>
  <c r="AI98" i="2"/>
  <c r="AG98" i="2"/>
  <c r="AE96" i="2"/>
  <c r="AC95" i="2"/>
  <c r="AC100" i="2"/>
  <c r="AC99" i="2"/>
  <c r="AC98" i="2"/>
  <c r="AA98" i="2"/>
  <c r="M96" i="2"/>
  <c r="O10" i="5" s="1"/>
  <c r="N96" i="2"/>
  <c r="O13" i="5" s="1"/>
  <c r="P96" i="2"/>
  <c r="O19" i="5" s="1"/>
  <c r="L96" i="2"/>
  <c r="O7" i="5" s="1"/>
  <c r="K99" i="2"/>
  <c r="K98" i="2"/>
  <c r="D101" i="2"/>
  <c r="D100" i="2"/>
  <c r="D99" i="2"/>
  <c r="D98" i="2"/>
  <c r="D95" i="2"/>
  <c r="BA76" i="2"/>
  <c r="BF76" i="2"/>
  <c r="BG76" i="2"/>
  <c r="BH76" i="2"/>
  <c r="AZ76" i="2"/>
  <c r="AY75" i="2"/>
  <c r="AV76" i="2"/>
  <c r="AU78" i="2"/>
  <c r="AS80" i="2"/>
  <c r="AS79" i="2"/>
  <c r="AS78" i="2"/>
  <c r="AS75" i="2"/>
  <c r="AQ78" i="2"/>
  <c r="AP79" i="2"/>
  <c r="AP78" i="2"/>
  <c r="AO78" i="2"/>
  <c r="AM76" i="2"/>
  <c r="AK81" i="2"/>
  <c r="AK80" i="2"/>
  <c r="AK79" i="2"/>
  <c r="AK78" i="2"/>
  <c r="AK75" i="2"/>
  <c r="AI78" i="2"/>
  <c r="AH78" i="2"/>
  <c r="AE76" i="2"/>
  <c r="AG78" i="2"/>
  <c r="AC81" i="2"/>
  <c r="AC80" i="2"/>
  <c r="AC79" i="2"/>
  <c r="AC78" i="2"/>
  <c r="AC75" i="2"/>
  <c r="AA78" i="2"/>
  <c r="M76" i="2"/>
  <c r="M10" i="5" s="1"/>
  <c r="N76" i="2"/>
  <c r="M13" i="5" s="1"/>
  <c r="P76" i="2"/>
  <c r="L76" i="2"/>
  <c r="K79" i="2"/>
  <c r="K78" i="2"/>
  <c r="K75" i="2"/>
  <c r="F76" i="2"/>
  <c r="G76" i="2"/>
  <c r="H76" i="2"/>
  <c r="J76" i="2"/>
  <c r="D81" i="2"/>
  <c r="D80" i="2"/>
  <c r="D79" i="2"/>
  <c r="D78" i="2"/>
  <c r="D76" i="2"/>
  <c r="D75" i="2"/>
  <c r="BG36" i="2"/>
  <c r="BH36" i="2"/>
  <c r="BF36" i="2"/>
  <c r="BA36" i="2"/>
  <c r="AZ36" i="2"/>
  <c r="AY38" i="2"/>
  <c r="AX38" i="2"/>
  <c r="AX18" i="2"/>
  <c r="AV36" i="2"/>
  <c r="AU38" i="2"/>
  <c r="AS40" i="2"/>
  <c r="AS39" i="2"/>
  <c r="AS38" i="2"/>
  <c r="AS35" i="2"/>
  <c r="AQ38" i="2"/>
  <c r="AP38" i="2"/>
  <c r="AO38" i="2"/>
  <c r="AM36" i="2"/>
  <c r="AK16" i="2"/>
  <c r="AK35" i="2"/>
  <c r="AK40" i="2"/>
  <c r="AK39" i="2"/>
  <c r="AK38" i="2"/>
  <c r="AI38" i="2"/>
  <c r="AH38" i="2"/>
  <c r="AG38" i="2"/>
  <c r="AE36" i="2"/>
  <c r="AC41" i="2"/>
  <c r="AC40" i="2"/>
  <c r="AC39" i="2"/>
  <c r="AC38" i="2"/>
  <c r="AC16" i="2"/>
  <c r="AC36" i="2"/>
  <c r="AA38" i="2"/>
  <c r="L36" i="2"/>
  <c r="M36" i="2"/>
  <c r="I10" i="5" s="1"/>
  <c r="N36" i="2"/>
  <c r="P36" i="2"/>
  <c r="K36" i="2"/>
  <c r="K39" i="2"/>
  <c r="K38" i="2"/>
  <c r="D40" i="2"/>
  <c r="D39" i="2"/>
  <c r="D38" i="2"/>
  <c r="AT86" i="2"/>
  <c r="AW86" i="2" s="1"/>
  <c r="AT87" i="2"/>
  <c r="AW87" i="2" s="1"/>
  <c r="AT88" i="2"/>
  <c r="AW88" i="2" s="1"/>
  <c r="AT89" i="2"/>
  <c r="AW89" i="2" s="1"/>
  <c r="AT90" i="2"/>
  <c r="AW90" i="2" s="1"/>
  <c r="AT91" i="2"/>
  <c r="AW91" i="2" s="1"/>
  <c r="AT92" i="2"/>
  <c r="AW92" i="2" s="1"/>
  <c r="AT93" i="2"/>
  <c r="AW93" i="2" s="1"/>
  <c r="AT94" i="2"/>
  <c r="AW94" i="2" s="1"/>
  <c r="AT85" i="2"/>
  <c r="AL86" i="2"/>
  <c r="AN86" i="2" s="1"/>
  <c r="AL87" i="2"/>
  <c r="AN87" i="2" s="1"/>
  <c r="AL88" i="2"/>
  <c r="AN88" i="2" s="1"/>
  <c r="AL89" i="2"/>
  <c r="AN89" i="2" s="1"/>
  <c r="AL90" i="2"/>
  <c r="AN90" i="2" s="1"/>
  <c r="AL91" i="2"/>
  <c r="AN91" i="2" s="1"/>
  <c r="AL92" i="2"/>
  <c r="AN92" i="2" s="1"/>
  <c r="AL93" i="2"/>
  <c r="AN93" i="2" s="1"/>
  <c r="AL94" i="2"/>
  <c r="AN94" i="2" s="1"/>
  <c r="AL85" i="2"/>
  <c r="AD86" i="2"/>
  <c r="AF86" i="2" s="1"/>
  <c r="AD87" i="2"/>
  <c r="AF87" i="2" s="1"/>
  <c r="AD88" i="2"/>
  <c r="AF88" i="2" s="1"/>
  <c r="AD89" i="2"/>
  <c r="AF89" i="2" s="1"/>
  <c r="AD90" i="2"/>
  <c r="AF90" i="2" s="1"/>
  <c r="AD91" i="2"/>
  <c r="AF91" i="2" s="1"/>
  <c r="AD92" i="2"/>
  <c r="AF92" i="2" s="1"/>
  <c r="AD93" i="2"/>
  <c r="AF93" i="2" s="1"/>
  <c r="AD94" i="2"/>
  <c r="AF94" i="2" s="1"/>
  <c r="AD85" i="2"/>
  <c r="O86" i="2"/>
  <c r="O87" i="2"/>
  <c r="O88" i="2"/>
  <c r="T88" i="2" s="1"/>
  <c r="Y88" i="2" s="1"/>
  <c r="O89" i="2"/>
  <c r="T89" i="2" s="1"/>
  <c r="Y89" i="2" s="1"/>
  <c r="O90" i="2"/>
  <c r="O91" i="2"/>
  <c r="O92" i="2"/>
  <c r="T92" i="2" s="1"/>
  <c r="Y92" i="2" s="1"/>
  <c r="O93" i="2"/>
  <c r="T93" i="2" s="1"/>
  <c r="Y93" i="2" s="1"/>
  <c r="O94" i="2"/>
  <c r="O85" i="2"/>
  <c r="I86" i="2"/>
  <c r="BC86" i="2" s="1"/>
  <c r="I87" i="2"/>
  <c r="BC87" i="2" s="1"/>
  <c r="I88" i="2"/>
  <c r="I89" i="2"/>
  <c r="BC89" i="2" s="1"/>
  <c r="I90" i="2"/>
  <c r="BC90" i="2" s="1"/>
  <c r="I91" i="2"/>
  <c r="BC91" i="2" s="1"/>
  <c r="I92" i="2"/>
  <c r="BC92" i="2" s="1"/>
  <c r="I93" i="2"/>
  <c r="BC93" i="2" s="1"/>
  <c r="I94" i="2"/>
  <c r="BC94" i="2" s="1"/>
  <c r="I85" i="2"/>
  <c r="E86" i="2"/>
  <c r="E87" i="2"/>
  <c r="E88" i="2"/>
  <c r="E89" i="2"/>
  <c r="E90" i="2"/>
  <c r="E91" i="2"/>
  <c r="E92" i="2"/>
  <c r="E93" i="2"/>
  <c r="E94" i="2"/>
  <c r="E85" i="2"/>
  <c r="AT66" i="2"/>
  <c r="AW66" i="2" s="1"/>
  <c r="AT67" i="2"/>
  <c r="AW67" i="2" s="1"/>
  <c r="AT68" i="2"/>
  <c r="AW68" i="2" s="1"/>
  <c r="AT69" i="2"/>
  <c r="AW69" i="2" s="1"/>
  <c r="AT70" i="2"/>
  <c r="AW70" i="2" s="1"/>
  <c r="AT71" i="2"/>
  <c r="AW71" i="2" s="1"/>
  <c r="AT72" i="2"/>
  <c r="AW72" i="2" s="1"/>
  <c r="AT73" i="2"/>
  <c r="AW73" i="2" s="1"/>
  <c r="AT74" i="2"/>
  <c r="AW74" i="2" s="1"/>
  <c r="AT65" i="2"/>
  <c r="AL66" i="2"/>
  <c r="AN66" i="2" s="1"/>
  <c r="AL67" i="2"/>
  <c r="AN67" i="2" s="1"/>
  <c r="AL68" i="2"/>
  <c r="AN68" i="2" s="1"/>
  <c r="AL69" i="2"/>
  <c r="AN69" i="2" s="1"/>
  <c r="AL70" i="2"/>
  <c r="AN70" i="2" s="1"/>
  <c r="AL71" i="2"/>
  <c r="AN71" i="2" s="1"/>
  <c r="AL72" i="2"/>
  <c r="AN72" i="2" s="1"/>
  <c r="AL73" i="2"/>
  <c r="AN73" i="2" s="1"/>
  <c r="AL74" i="2"/>
  <c r="AN74" i="2" s="1"/>
  <c r="AL65" i="2"/>
  <c r="AD66" i="2"/>
  <c r="AF66" i="2" s="1"/>
  <c r="AD67" i="2"/>
  <c r="AF67" i="2" s="1"/>
  <c r="AD68" i="2"/>
  <c r="AF68" i="2" s="1"/>
  <c r="AD69" i="2"/>
  <c r="AF69" i="2" s="1"/>
  <c r="AD70" i="2"/>
  <c r="AF70" i="2" s="1"/>
  <c r="AD71" i="2"/>
  <c r="AF71" i="2" s="1"/>
  <c r="AD72" i="2"/>
  <c r="AF72" i="2" s="1"/>
  <c r="AD73" i="2"/>
  <c r="AF73" i="2" s="1"/>
  <c r="AD74" i="2"/>
  <c r="AF74" i="2" s="1"/>
  <c r="AD65" i="2"/>
  <c r="O66" i="2"/>
  <c r="O67" i="2"/>
  <c r="O68" i="2"/>
  <c r="T68" i="2" s="1"/>
  <c r="Y68" i="2" s="1"/>
  <c r="O69" i="2"/>
  <c r="T69" i="2" s="1"/>
  <c r="Y69" i="2" s="1"/>
  <c r="O70" i="2"/>
  <c r="O71" i="2"/>
  <c r="O72" i="2"/>
  <c r="O73" i="2"/>
  <c r="T73" i="2" s="1"/>
  <c r="Y73" i="2" s="1"/>
  <c r="O74" i="2"/>
  <c r="O65" i="2"/>
  <c r="I66" i="2"/>
  <c r="BC66" i="2" s="1"/>
  <c r="BJ66" i="2" s="1"/>
  <c r="I67" i="2"/>
  <c r="BC67" i="2" s="1"/>
  <c r="BJ67" i="2" s="1"/>
  <c r="I68" i="2"/>
  <c r="BC68" i="2" s="1"/>
  <c r="BJ68" i="2" s="1"/>
  <c r="I69" i="2"/>
  <c r="BC69" i="2" s="1"/>
  <c r="BJ69" i="2" s="1"/>
  <c r="I70" i="2"/>
  <c r="BC70" i="2" s="1"/>
  <c r="BJ70" i="2" s="1"/>
  <c r="I71" i="2"/>
  <c r="BC71" i="2" s="1"/>
  <c r="BJ71" i="2" s="1"/>
  <c r="I72" i="2"/>
  <c r="BC72" i="2" s="1"/>
  <c r="BJ72" i="2" s="1"/>
  <c r="I73" i="2"/>
  <c r="BC73" i="2" s="1"/>
  <c r="BJ73" i="2" s="1"/>
  <c r="I74" i="2"/>
  <c r="BC74" i="2" s="1"/>
  <c r="BJ74" i="2" s="1"/>
  <c r="I65" i="2"/>
  <c r="E66" i="2"/>
  <c r="E67" i="2"/>
  <c r="E68" i="2"/>
  <c r="E69" i="2"/>
  <c r="E70" i="2"/>
  <c r="E71" i="2"/>
  <c r="E72" i="2"/>
  <c r="E73" i="2"/>
  <c r="E74" i="2"/>
  <c r="E65" i="2"/>
  <c r="E77" i="2" l="1"/>
  <c r="T65" i="2"/>
  <c r="T71" i="2"/>
  <c r="Y71" i="2" s="1"/>
  <c r="T67" i="2"/>
  <c r="Y67" i="2" s="1"/>
  <c r="AN65" i="2"/>
  <c r="AN77" i="2" s="1"/>
  <c r="AL77" i="2"/>
  <c r="E97" i="2"/>
  <c r="O97" i="2"/>
  <c r="P16" i="5" s="1"/>
  <c r="T85" i="2"/>
  <c r="T91" i="2"/>
  <c r="Y91" i="2" s="1"/>
  <c r="T87" i="2"/>
  <c r="Y87" i="2" s="1"/>
  <c r="AL96" i="2"/>
  <c r="AL97" i="2"/>
  <c r="AL95" i="2"/>
  <c r="T74" i="2"/>
  <c r="Y74" i="2" s="1"/>
  <c r="T70" i="2"/>
  <c r="Y70" i="2" s="1"/>
  <c r="T66" i="2"/>
  <c r="Y66" i="2" s="1"/>
  <c r="T94" i="2"/>
  <c r="Y94" i="2" s="1"/>
  <c r="T90" i="2"/>
  <c r="Y90" i="2" s="1"/>
  <c r="T86" i="2"/>
  <c r="Y86" i="2" s="1"/>
  <c r="O77" i="2"/>
  <c r="N16" i="5" s="1"/>
  <c r="T72" i="2"/>
  <c r="Y72" i="2" s="1"/>
  <c r="I77" i="2"/>
  <c r="AF65" i="2"/>
  <c r="AF77" i="2" s="1"/>
  <c r="AD77" i="2"/>
  <c r="AW65" i="2"/>
  <c r="AW77" i="2" s="1"/>
  <c r="AT77" i="2"/>
  <c r="BC85" i="2"/>
  <c r="I97" i="2"/>
  <c r="AF85" i="2"/>
  <c r="AF97" i="2" s="1"/>
  <c r="AD97" i="2"/>
  <c r="AW85" i="2"/>
  <c r="AW97" i="2" s="1"/>
  <c r="AT97" i="2"/>
  <c r="BD93" i="2"/>
  <c r="O76" i="2"/>
  <c r="M16" i="5" s="1"/>
  <c r="O96" i="2"/>
  <c r="O16" i="5" s="1"/>
  <c r="I76" i="2"/>
  <c r="BD69" i="2"/>
  <c r="BD94" i="2"/>
  <c r="BJ94" i="2" s="1"/>
  <c r="AL98" i="2"/>
  <c r="BD68" i="2"/>
  <c r="BD90" i="2"/>
  <c r="BK90" i="2" s="1"/>
  <c r="AT96" i="2"/>
  <c r="AF76" i="2"/>
  <c r="BD86" i="2"/>
  <c r="BD88" i="2"/>
  <c r="E76" i="2"/>
  <c r="BD67" i="2"/>
  <c r="AN76" i="2"/>
  <c r="AW76" i="2"/>
  <c r="AF96" i="2"/>
  <c r="BD74" i="2"/>
  <c r="BD87" i="2"/>
  <c r="BE87" i="2" s="1"/>
  <c r="AW96" i="2"/>
  <c r="BD71" i="2"/>
  <c r="BC88" i="2"/>
  <c r="BC96" i="2" s="1"/>
  <c r="AL76" i="2"/>
  <c r="AT76" i="2"/>
  <c r="BD66" i="2"/>
  <c r="BC65" i="2"/>
  <c r="BC77" i="2" s="1"/>
  <c r="BD73" i="2"/>
  <c r="AN85" i="2"/>
  <c r="AD96" i="2"/>
  <c r="BD70" i="2"/>
  <c r="BD89" i="2"/>
  <c r="BD72" i="2"/>
  <c r="E96" i="2"/>
  <c r="AD76" i="2"/>
  <c r="BD92" i="2"/>
  <c r="BD91" i="2"/>
  <c r="BD65" i="2"/>
  <c r="AY19" i="2"/>
  <c r="AY18" i="2"/>
  <c r="AU18" i="2"/>
  <c r="AS20" i="2"/>
  <c r="AS19" i="2"/>
  <c r="AS18" i="2"/>
  <c r="AQ18" i="2"/>
  <c r="AO18" i="2"/>
  <c r="AM16" i="2"/>
  <c r="AK20" i="2"/>
  <c r="AK19" i="2"/>
  <c r="AK18" i="2"/>
  <c r="AH18" i="2"/>
  <c r="AI19" i="2"/>
  <c r="AI18" i="2"/>
  <c r="AH19" i="2"/>
  <c r="AC19" i="2"/>
  <c r="AC18" i="2"/>
  <c r="AA18" i="2"/>
  <c r="K16" i="2"/>
  <c r="K18" i="2"/>
  <c r="D20" i="2"/>
  <c r="D19" i="2"/>
  <c r="D18" i="2"/>
  <c r="G36" i="2"/>
  <c r="H36" i="2"/>
  <c r="J36" i="2"/>
  <c r="F36" i="2"/>
  <c r="D36" i="2"/>
  <c r="D35" i="2"/>
  <c r="AT26" i="2"/>
  <c r="AW26" i="2" s="1"/>
  <c r="AT27" i="2"/>
  <c r="AW27" i="2" s="1"/>
  <c r="AT28" i="2"/>
  <c r="AW28" i="2" s="1"/>
  <c r="AT29" i="2"/>
  <c r="AW29" i="2" s="1"/>
  <c r="AT30" i="2"/>
  <c r="AW30" i="2" s="1"/>
  <c r="AT31" i="2"/>
  <c r="AW31" i="2" s="1"/>
  <c r="AT32" i="2"/>
  <c r="AW32" i="2" s="1"/>
  <c r="AT33" i="2"/>
  <c r="AW33" i="2" s="1"/>
  <c r="AT34" i="2"/>
  <c r="AW34" i="2" s="1"/>
  <c r="AT25" i="2"/>
  <c r="AL26" i="2"/>
  <c r="AL27" i="2"/>
  <c r="AN27" i="2" s="1"/>
  <c r="AL28" i="2"/>
  <c r="AN28" i="2" s="1"/>
  <c r="AL29" i="2"/>
  <c r="AN29" i="2" s="1"/>
  <c r="AL30" i="2"/>
  <c r="AN30" i="2" s="1"/>
  <c r="AL31" i="2"/>
  <c r="AN31" i="2" s="1"/>
  <c r="AL32" i="2"/>
  <c r="AN32" i="2" s="1"/>
  <c r="AL33" i="2"/>
  <c r="AN33" i="2" s="1"/>
  <c r="AL34" i="2"/>
  <c r="AN34" i="2" s="1"/>
  <c r="AL25" i="2"/>
  <c r="AD26" i="2"/>
  <c r="AD27" i="2"/>
  <c r="AF27" i="2" s="1"/>
  <c r="AD28" i="2"/>
  <c r="AF28" i="2" s="1"/>
  <c r="AD29" i="2"/>
  <c r="AF29" i="2" s="1"/>
  <c r="AD30" i="2"/>
  <c r="AF30" i="2" s="1"/>
  <c r="AD31" i="2"/>
  <c r="AF31" i="2" s="1"/>
  <c r="AD32" i="2"/>
  <c r="AF32" i="2" s="1"/>
  <c r="AD33" i="2"/>
  <c r="AF33" i="2" s="1"/>
  <c r="AD34" i="2"/>
  <c r="AF34" i="2" s="1"/>
  <c r="AD25" i="2"/>
  <c r="O26" i="2"/>
  <c r="O27" i="2"/>
  <c r="O28" i="2"/>
  <c r="O29" i="2"/>
  <c r="O31" i="2"/>
  <c r="O32" i="2"/>
  <c r="O33" i="2"/>
  <c r="O34" i="2"/>
  <c r="O25" i="2"/>
  <c r="I26" i="2"/>
  <c r="BC26" i="2" s="1"/>
  <c r="BJ26" i="2" s="1"/>
  <c r="I27" i="2"/>
  <c r="BC27" i="2" s="1"/>
  <c r="BJ27" i="2" s="1"/>
  <c r="I28" i="2"/>
  <c r="BC28" i="2" s="1"/>
  <c r="BJ28" i="2" s="1"/>
  <c r="I29" i="2"/>
  <c r="BC29" i="2" s="1"/>
  <c r="BJ29" i="2" s="1"/>
  <c r="BC30" i="2"/>
  <c r="BJ30" i="2" s="1"/>
  <c r="I31" i="2"/>
  <c r="BC31" i="2" s="1"/>
  <c r="BJ31" i="2" s="1"/>
  <c r="I32" i="2"/>
  <c r="BC32" i="2" s="1"/>
  <c r="BJ32" i="2" s="1"/>
  <c r="I33" i="2"/>
  <c r="BC33" i="2" s="1"/>
  <c r="BJ33" i="2" s="1"/>
  <c r="I34" i="2"/>
  <c r="BC34" i="2" s="1"/>
  <c r="BJ34" i="2" s="1"/>
  <c r="I25" i="2"/>
  <c r="E26" i="2"/>
  <c r="E27" i="2"/>
  <c r="E28" i="2"/>
  <c r="E29" i="2"/>
  <c r="E30" i="2"/>
  <c r="E31" i="2"/>
  <c r="E32" i="2"/>
  <c r="E33" i="2"/>
  <c r="E34" i="2"/>
  <c r="E25" i="2"/>
  <c r="BK91" i="2" l="1"/>
  <c r="BE91" i="2"/>
  <c r="BK72" i="2"/>
  <c r="BM72" i="2" s="1"/>
  <c r="BE72" i="2"/>
  <c r="AN96" i="2"/>
  <c r="AN97" i="2"/>
  <c r="BC97" i="2"/>
  <c r="BK92" i="2"/>
  <c r="BE92" i="2"/>
  <c r="BJ89" i="2"/>
  <c r="BE89" i="2"/>
  <c r="BK73" i="2"/>
  <c r="BM73" i="2" s="1"/>
  <c r="BE73" i="2"/>
  <c r="BJ88" i="2"/>
  <c r="BE88" i="2"/>
  <c r="BK94" i="2"/>
  <c r="BL94" i="2" s="1"/>
  <c r="BE94" i="2"/>
  <c r="BE65" i="2"/>
  <c r="BD77" i="2"/>
  <c r="N50" i="5" s="1"/>
  <c r="BK70" i="2"/>
  <c r="BE70" i="2"/>
  <c r="BK74" i="2"/>
  <c r="BM74" i="2" s="1"/>
  <c r="BE74" i="2"/>
  <c r="BK86" i="2"/>
  <c r="BL86" i="2" s="1"/>
  <c r="BE86" i="2"/>
  <c r="BJ90" i="2"/>
  <c r="BE90" i="2"/>
  <c r="BK69" i="2"/>
  <c r="BM69" i="2" s="1"/>
  <c r="BE69" i="2"/>
  <c r="BJ93" i="2"/>
  <c r="BE93" i="2"/>
  <c r="T76" i="2"/>
  <c r="Y65" i="2"/>
  <c r="T77" i="2"/>
  <c r="BK66" i="2"/>
  <c r="BE66" i="2"/>
  <c r="BK71" i="2"/>
  <c r="BM71" i="2" s="1"/>
  <c r="BE71" i="2"/>
  <c r="BK67" i="2"/>
  <c r="BE67" i="2"/>
  <c r="BK68" i="2"/>
  <c r="BM68" i="2" s="1"/>
  <c r="BE68" i="2"/>
  <c r="T97" i="2"/>
  <c r="T96" i="2"/>
  <c r="Y85" i="2"/>
  <c r="T31" i="2"/>
  <c r="Y31" i="2" s="1"/>
  <c r="T27" i="2"/>
  <c r="Y27" i="2" s="1"/>
  <c r="AN26" i="2"/>
  <c r="AL37" i="2"/>
  <c r="T32" i="2"/>
  <c r="Y32" i="2" s="1"/>
  <c r="T28" i="2"/>
  <c r="Y28" i="2" s="1"/>
  <c r="AF26" i="2"/>
  <c r="AD37" i="2"/>
  <c r="T34" i="2"/>
  <c r="Y34" i="2" s="1"/>
  <c r="T30" i="2"/>
  <c r="Y30" i="2" s="1"/>
  <c r="T26" i="2"/>
  <c r="Y26" i="2" s="1"/>
  <c r="T33" i="2"/>
  <c r="Y33" i="2" s="1"/>
  <c r="T29" i="2"/>
  <c r="Y29" i="2" s="1"/>
  <c r="O35" i="2"/>
  <c r="T25" i="2"/>
  <c r="Y25" i="2" s="1"/>
  <c r="O37" i="2"/>
  <c r="E35" i="2"/>
  <c r="E37" i="2"/>
  <c r="I37" i="2"/>
  <c r="J15" i="5" s="1"/>
  <c r="I35" i="2"/>
  <c r="AT37" i="2"/>
  <c r="BJ86" i="2"/>
  <c r="BJ91" i="2"/>
  <c r="BK93" i="2"/>
  <c r="BM94" i="2"/>
  <c r="BK88" i="2"/>
  <c r="O36" i="2"/>
  <c r="AN25" i="2"/>
  <c r="AL36" i="2"/>
  <c r="BJ92" i="2"/>
  <c r="BK87" i="2"/>
  <c r="BL87" i="2" s="1"/>
  <c r="BJ87" i="2"/>
  <c r="AF25" i="2"/>
  <c r="AF36" i="2" s="1"/>
  <c r="AD36" i="2"/>
  <c r="BJ65" i="2"/>
  <c r="BC76" i="2"/>
  <c r="AW25" i="2"/>
  <c r="AT36" i="2"/>
  <c r="BK65" i="2"/>
  <c r="BD76" i="2"/>
  <c r="M50" i="5" s="1"/>
  <c r="BK89" i="2"/>
  <c r="BD85" i="2"/>
  <c r="BM86" i="2"/>
  <c r="I36" i="2"/>
  <c r="I15" i="5" s="1"/>
  <c r="BD29" i="2"/>
  <c r="BD34" i="2"/>
  <c r="BD30" i="2"/>
  <c r="BD33" i="2"/>
  <c r="E36" i="2"/>
  <c r="BD32" i="2"/>
  <c r="BD28" i="2"/>
  <c r="BD31" i="2"/>
  <c r="BD27" i="2"/>
  <c r="BC25" i="2"/>
  <c r="BC37" i="2" s="1"/>
  <c r="BM70" i="2" l="1"/>
  <c r="BL70" i="2"/>
  <c r="BM67" i="2"/>
  <c r="BL67" i="2"/>
  <c r="BL66" i="2"/>
  <c r="BM66" i="2" s="1"/>
  <c r="BK77" i="2"/>
  <c r="N59" i="5" s="1"/>
  <c r="BL65" i="2"/>
  <c r="BL88" i="2"/>
  <c r="BL91" i="2"/>
  <c r="BM91" i="2" s="1"/>
  <c r="BL90" i="2"/>
  <c r="BM90" i="2" s="1"/>
  <c r="BL92" i="2"/>
  <c r="BM92" i="2"/>
  <c r="BL93" i="2"/>
  <c r="BM93" i="2" s="1"/>
  <c r="BL89" i="2"/>
  <c r="BE85" i="2"/>
  <c r="BD97" i="2"/>
  <c r="Y96" i="2"/>
  <c r="Y97" i="2"/>
  <c r="Y76" i="2"/>
  <c r="M17" i="5" s="1"/>
  <c r="Y77" i="2"/>
  <c r="N17" i="5" s="1"/>
  <c r="BM89" i="2"/>
  <c r="AF37" i="2"/>
  <c r="AN37" i="2"/>
  <c r="BJ76" i="2"/>
  <c r="BJ77" i="2"/>
  <c r="BE77" i="2"/>
  <c r="N51" i="5" s="1"/>
  <c r="BE76" i="2"/>
  <c r="M51" i="5" s="1"/>
  <c r="E10" i="6" s="1"/>
  <c r="BM88" i="2"/>
  <c r="AN36" i="2"/>
  <c r="BD26" i="2"/>
  <c r="BK26" i="2" s="1"/>
  <c r="BM26" i="2" s="1"/>
  <c r="Y37" i="2"/>
  <c r="Y36" i="2"/>
  <c r="T37" i="2"/>
  <c r="T36" i="2"/>
  <c r="T35" i="2"/>
  <c r="BK27" i="2"/>
  <c r="BM27" i="2" s="1"/>
  <c r="BE27" i="2"/>
  <c r="BK34" i="2"/>
  <c r="BM34" i="2" s="1"/>
  <c r="BK31" i="2"/>
  <c r="BM31" i="2" s="1"/>
  <c r="BE31" i="2"/>
  <c r="BK33" i="2"/>
  <c r="BM33" i="2" s="1"/>
  <c r="BE33" i="2"/>
  <c r="BK29" i="2"/>
  <c r="BM29" i="2" s="1"/>
  <c r="BK28" i="2"/>
  <c r="BM28" i="2" s="1"/>
  <c r="BE28" i="2"/>
  <c r="AW36" i="2"/>
  <c r="AW37" i="2"/>
  <c r="BK32" i="2"/>
  <c r="BM32" i="2" s="1"/>
  <c r="BE32" i="2"/>
  <c r="BK30" i="2"/>
  <c r="BE30" i="2"/>
  <c r="BM87" i="2"/>
  <c r="BD25" i="2"/>
  <c r="BJ25" i="2"/>
  <c r="BC36" i="2"/>
  <c r="BK85" i="2"/>
  <c r="BL85" i="2" s="1"/>
  <c r="BJ85" i="2"/>
  <c r="BJ97" i="2" s="1"/>
  <c r="BD96" i="2"/>
  <c r="BL77" i="2"/>
  <c r="BK76" i="2"/>
  <c r="M59" i="5" s="1"/>
  <c r="BL30" i="2" l="1"/>
  <c r="BL36" i="2" s="1"/>
  <c r="BE26" i="2"/>
  <c r="BK96" i="2"/>
  <c r="BK97" i="2"/>
  <c r="BE97" i="2"/>
  <c r="BE96" i="2"/>
  <c r="BJ36" i="2"/>
  <c r="BJ37" i="2"/>
  <c r="BK25" i="2"/>
  <c r="BE25" i="2"/>
  <c r="BD37" i="2"/>
  <c r="BD36" i="2"/>
  <c r="BM65" i="2"/>
  <c r="BL76" i="2"/>
  <c r="BL97" i="2"/>
  <c r="BJ96" i="2"/>
  <c r="BA16" i="2"/>
  <c r="BF16" i="2"/>
  <c r="BG16" i="2"/>
  <c r="BH16" i="2"/>
  <c r="G56" i="5" s="1"/>
  <c r="AZ16" i="2"/>
  <c r="AY15" i="2"/>
  <c r="AV16" i="2"/>
  <c r="AH15" i="2"/>
  <c r="AG18" i="2"/>
  <c r="AE16" i="2"/>
  <c r="O7" i="2"/>
  <c r="O8" i="2"/>
  <c r="M16" i="2"/>
  <c r="G10" i="5" s="1"/>
  <c r="N16" i="2"/>
  <c r="P16" i="2"/>
  <c r="L16" i="2"/>
  <c r="G7" i="5" s="1"/>
  <c r="D15" i="2"/>
  <c r="F16" i="2"/>
  <c r="G16" i="2"/>
  <c r="H16" i="2"/>
  <c r="J16" i="2"/>
  <c r="D16" i="2"/>
  <c r="AT6" i="2"/>
  <c r="AT7" i="2"/>
  <c r="AW7" i="2" s="1"/>
  <c r="AT8" i="2"/>
  <c r="AW8" i="2" s="1"/>
  <c r="AT9" i="2"/>
  <c r="AW9" i="2" s="1"/>
  <c r="AT10" i="2"/>
  <c r="AW10" i="2" s="1"/>
  <c r="AT11" i="2"/>
  <c r="AW11" i="2" s="1"/>
  <c r="AT12" i="2"/>
  <c r="AW12" i="2" s="1"/>
  <c r="AT13" i="2"/>
  <c r="AW13" i="2" s="1"/>
  <c r="AT14" i="2"/>
  <c r="AW14" i="2" s="1"/>
  <c r="AT5" i="2"/>
  <c r="AL13" i="2"/>
  <c r="AN13" i="2" s="1"/>
  <c r="AL12" i="2"/>
  <c r="AN12" i="2" s="1"/>
  <c r="AL9" i="2"/>
  <c r="AN9" i="2" s="1"/>
  <c r="AL7" i="2"/>
  <c r="AD6" i="2"/>
  <c r="AD7" i="2"/>
  <c r="AF7" i="2" s="1"/>
  <c r="AD8" i="2"/>
  <c r="AF8" i="2" s="1"/>
  <c r="AD9" i="2"/>
  <c r="AF9" i="2" s="1"/>
  <c r="AD10" i="2"/>
  <c r="AF10" i="2" s="1"/>
  <c r="AD11" i="2"/>
  <c r="AF11" i="2" s="1"/>
  <c r="AD12" i="2"/>
  <c r="AF12" i="2" s="1"/>
  <c r="AD13" i="2"/>
  <c r="AF13" i="2" s="1"/>
  <c r="AD14" i="2"/>
  <c r="AF14" i="2" s="1"/>
  <c r="AD5" i="2"/>
  <c r="BM30" i="2" l="1"/>
  <c r="BM36" i="2" s="1"/>
  <c r="BM76" i="2"/>
  <c r="M60" i="5" s="1"/>
  <c r="E13" i="6" s="1"/>
  <c r="BM77" i="2"/>
  <c r="N60" i="5" s="1"/>
  <c r="BM25" i="2"/>
  <c r="BL37" i="2"/>
  <c r="BK36" i="2"/>
  <c r="BK37" i="2"/>
  <c r="AL17" i="2"/>
  <c r="AW6" i="2"/>
  <c r="AT17" i="2"/>
  <c r="AL15" i="2"/>
  <c r="AF5" i="2"/>
  <c r="AD15" i="2"/>
  <c r="AD17" i="2"/>
  <c r="BL96" i="2"/>
  <c r="BM85" i="2"/>
  <c r="AW5" i="2"/>
  <c r="AT16" i="2"/>
  <c r="AN7" i="2"/>
  <c r="AL16" i="2"/>
  <c r="G30" i="5" s="1"/>
  <c r="AF6" i="2"/>
  <c r="AD16" i="2"/>
  <c r="BD8" i="2"/>
  <c r="O14" i="2"/>
  <c r="O13" i="2"/>
  <c r="O12" i="2"/>
  <c r="O11" i="2"/>
  <c r="O10" i="2"/>
  <c r="O9" i="2"/>
  <c r="O6" i="2"/>
  <c r="O5" i="2"/>
  <c r="I6" i="2"/>
  <c r="I7" i="2"/>
  <c r="BC7" i="2" s="1"/>
  <c r="BJ7" i="2" s="1"/>
  <c r="I8" i="2"/>
  <c r="BC8" i="2" s="1"/>
  <c r="BJ8" i="2" s="1"/>
  <c r="I9" i="2"/>
  <c r="BC9" i="2" s="1"/>
  <c r="BJ9" i="2" s="1"/>
  <c r="I10" i="2"/>
  <c r="BC10" i="2" s="1"/>
  <c r="BJ10" i="2" s="1"/>
  <c r="I11" i="2"/>
  <c r="BC11" i="2" s="1"/>
  <c r="BJ11" i="2" s="1"/>
  <c r="I12" i="2"/>
  <c r="BC12" i="2" s="1"/>
  <c r="BJ12" i="2" s="1"/>
  <c r="I13" i="2"/>
  <c r="BC13" i="2" s="1"/>
  <c r="BJ13" i="2" s="1"/>
  <c r="I14" i="2"/>
  <c r="BC14" i="2" s="1"/>
  <c r="BJ14" i="2" s="1"/>
  <c r="I5" i="2"/>
  <c r="E6" i="2"/>
  <c r="E7" i="2"/>
  <c r="E8" i="2"/>
  <c r="E9" i="2"/>
  <c r="E10" i="2"/>
  <c r="E11" i="2"/>
  <c r="E12" i="2"/>
  <c r="E13" i="2"/>
  <c r="E14" i="2"/>
  <c r="E5" i="2"/>
  <c r="BM96" i="2" l="1"/>
  <c r="BM97" i="2"/>
  <c r="AW16" i="2"/>
  <c r="BM37" i="2"/>
  <c r="AW17" i="2"/>
  <c r="T6" i="2"/>
  <c r="Y6" i="2" s="1"/>
  <c r="BK8" i="2"/>
  <c r="BM8" i="2" s="1"/>
  <c r="BE8" i="2"/>
  <c r="E15" i="2"/>
  <c r="E17" i="2"/>
  <c r="BD5" i="2"/>
  <c r="O15" i="2"/>
  <c r="O17" i="2"/>
  <c r="T5" i="2"/>
  <c r="Y5" i="2" s="1"/>
  <c r="AN16" i="2"/>
  <c r="AN15" i="2"/>
  <c r="AN17" i="2"/>
  <c r="BC5" i="2"/>
  <c r="I15" i="2"/>
  <c r="I17" i="2"/>
  <c r="AF16" i="2"/>
  <c r="AF17" i="2"/>
  <c r="AF15" i="2"/>
  <c r="BD12" i="2"/>
  <c r="T12" i="2"/>
  <c r="Y12" i="2" s="1"/>
  <c r="BD9" i="2"/>
  <c r="T9" i="2"/>
  <c r="Y9" i="2" s="1"/>
  <c r="BD13" i="2"/>
  <c r="T13" i="2"/>
  <c r="Y13" i="2" s="1"/>
  <c r="BD10" i="2"/>
  <c r="T10" i="2"/>
  <c r="Y10" i="2" s="1"/>
  <c r="BD14" i="2"/>
  <c r="T14" i="2"/>
  <c r="Y14" i="2" s="1"/>
  <c r="T7" i="2"/>
  <c r="Y7" i="2" s="1"/>
  <c r="BD11" i="2"/>
  <c r="T11" i="2"/>
  <c r="Y11" i="2" s="1"/>
  <c r="T8" i="2"/>
  <c r="Y8" i="2" s="1"/>
  <c r="BD7" i="2"/>
  <c r="BD6" i="2"/>
  <c r="O16" i="2"/>
  <c r="BC6" i="2"/>
  <c r="I16" i="2"/>
  <c r="E16" i="2"/>
  <c r="AE61" i="1"/>
  <c r="D56" i="4" s="1"/>
  <c r="AE60" i="1"/>
  <c r="D55" i="4" s="1"/>
  <c r="AE59" i="1"/>
  <c r="D54" i="4" s="1"/>
  <c r="AE58" i="1"/>
  <c r="D53" i="4" s="1"/>
  <c r="AD60" i="1"/>
  <c r="D52" i="4" s="1"/>
  <c r="AD59" i="1"/>
  <c r="D51" i="4" s="1"/>
  <c r="AD58" i="1"/>
  <c r="D50" i="4" s="1"/>
  <c r="AC60" i="1"/>
  <c r="D49" i="4" s="1"/>
  <c r="AC59" i="1"/>
  <c r="D48" i="4" s="1"/>
  <c r="AC58" i="1"/>
  <c r="D47" i="4" s="1"/>
  <c r="AB62" i="1"/>
  <c r="D46" i="4" s="1"/>
  <c r="AB61" i="1"/>
  <c r="D45" i="4" s="1"/>
  <c r="AB60" i="1"/>
  <c r="D44" i="4" s="1"/>
  <c r="AB59" i="1"/>
  <c r="D43" i="4" s="1"/>
  <c r="AB58" i="1"/>
  <c r="D42" i="4" s="1"/>
  <c r="AA60" i="1"/>
  <c r="D41" i="4" s="1"/>
  <c r="AA59" i="1"/>
  <c r="D40" i="4" s="1"/>
  <c r="AA58" i="1"/>
  <c r="D39" i="4" s="1"/>
  <c r="Z59" i="1"/>
  <c r="D38" i="4" s="1"/>
  <c r="Z58" i="1"/>
  <c r="D37" i="4" s="1"/>
  <c r="Y63" i="1"/>
  <c r="D36" i="4" s="1"/>
  <c r="Y62" i="1"/>
  <c r="D35" i="4" s="1"/>
  <c r="Y61" i="1"/>
  <c r="D34" i="4" s="1"/>
  <c r="Y60" i="1"/>
  <c r="D33" i="4" s="1"/>
  <c r="Y59" i="1"/>
  <c r="D32" i="4" s="1"/>
  <c r="Y58" i="1"/>
  <c r="D31" i="4" s="1"/>
  <c r="X63" i="1"/>
  <c r="D30" i="4" s="1"/>
  <c r="X62" i="1"/>
  <c r="D29" i="4" s="1"/>
  <c r="X61" i="1"/>
  <c r="D28" i="4" s="1"/>
  <c r="X60" i="1"/>
  <c r="D27" i="4" s="1"/>
  <c r="X59" i="1"/>
  <c r="D26" i="4" s="1"/>
  <c r="X58" i="1"/>
  <c r="D25" i="4" s="1"/>
  <c r="W60" i="1"/>
  <c r="D24" i="4" s="1"/>
  <c r="W59" i="1"/>
  <c r="D23" i="4" s="1"/>
  <c r="W58" i="1"/>
  <c r="D22" i="4" s="1"/>
  <c r="V60" i="1"/>
  <c r="D21" i="4" s="1"/>
  <c r="V59" i="1"/>
  <c r="D20" i="4" s="1"/>
  <c r="V58" i="1"/>
  <c r="D19" i="4" s="1"/>
  <c r="D58" i="1"/>
  <c r="E4" i="3" s="1"/>
  <c r="O57" i="1"/>
  <c r="P57" i="1"/>
  <c r="Q57" i="1"/>
  <c r="R57" i="1"/>
  <c r="S57" i="1"/>
  <c r="N57" i="1"/>
  <c r="L67" i="1"/>
  <c r="E43" i="3" s="1"/>
  <c r="L66" i="1"/>
  <c r="E42" i="3" s="1"/>
  <c r="L65" i="1"/>
  <c r="E41" i="3" s="1"/>
  <c r="L64" i="1"/>
  <c r="E40" i="3" s="1"/>
  <c r="L63" i="1"/>
  <c r="E39" i="3" s="1"/>
  <c r="L62" i="1"/>
  <c r="E38" i="3" s="1"/>
  <c r="L61" i="1"/>
  <c r="E37" i="3" s="1"/>
  <c r="L60" i="1"/>
  <c r="E36" i="3" s="1"/>
  <c r="L59" i="1"/>
  <c r="E35" i="3" s="1"/>
  <c r="L58" i="1"/>
  <c r="K61" i="1"/>
  <c r="E34" i="3" s="1"/>
  <c r="K60" i="1"/>
  <c r="E33" i="3" s="1"/>
  <c r="K59" i="1"/>
  <c r="E32" i="3" s="1"/>
  <c r="K58" i="1"/>
  <c r="E31" i="3" s="1"/>
  <c r="J60" i="1"/>
  <c r="E29" i="3" s="1"/>
  <c r="J59" i="1"/>
  <c r="E28" i="3" s="1"/>
  <c r="J58" i="1"/>
  <c r="E27" i="3" s="1"/>
  <c r="I62" i="1"/>
  <c r="E26" i="3" s="1"/>
  <c r="I61" i="1"/>
  <c r="E25" i="3" s="1"/>
  <c r="I60" i="1"/>
  <c r="E24" i="3" s="1"/>
  <c r="I59" i="1"/>
  <c r="E23" i="3" s="1"/>
  <c r="I58" i="1"/>
  <c r="E22" i="3" s="1"/>
  <c r="H61" i="1"/>
  <c r="E21" i="3" s="1"/>
  <c r="H60" i="1"/>
  <c r="E20" i="3" s="1"/>
  <c r="H59" i="1"/>
  <c r="E19" i="3" s="1"/>
  <c r="H58" i="1"/>
  <c r="E18" i="3" s="1"/>
  <c r="D61" i="1"/>
  <c r="E7" i="3" s="1"/>
  <c r="D60" i="1"/>
  <c r="E6" i="3" s="1"/>
  <c r="D59" i="1"/>
  <c r="E5" i="3" s="1"/>
  <c r="G60" i="1"/>
  <c r="E17" i="3" s="1"/>
  <c r="G59" i="1"/>
  <c r="E16" i="3" s="1"/>
  <c r="G58" i="1"/>
  <c r="E15" i="3" s="1"/>
  <c r="F60" i="1"/>
  <c r="E12" i="3" s="1"/>
  <c r="F59" i="1"/>
  <c r="E11" i="3" s="1"/>
  <c r="F58" i="1"/>
  <c r="E10" i="3" s="1"/>
  <c r="BE5" i="2" l="1"/>
  <c r="Y16" i="2"/>
  <c r="Y17" i="2"/>
  <c r="BK14" i="2"/>
  <c r="BM14" i="2" s="1"/>
  <c r="BE14" i="2"/>
  <c r="BK13" i="2"/>
  <c r="BE13" i="2"/>
  <c r="BK12" i="2"/>
  <c r="BM12" i="2" s="1"/>
  <c r="BE12" i="2"/>
  <c r="BE6" i="2"/>
  <c r="BK11" i="2"/>
  <c r="BM11" i="2" s="1"/>
  <c r="BE11" i="2"/>
  <c r="BK7" i="2"/>
  <c r="BE7" i="2"/>
  <c r="BK10" i="2"/>
  <c r="BM10" i="2" s="1"/>
  <c r="BE10" i="2"/>
  <c r="BK9" i="2"/>
  <c r="BM9" i="2" s="1"/>
  <c r="BE9" i="2"/>
  <c r="BJ5" i="2"/>
  <c r="BC17" i="2"/>
  <c r="T15" i="2"/>
  <c r="T17" i="2"/>
  <c r="T16" i="2"/>
  <c r="BD16" i="2"/>
  <c r="BK5" i="2"/>
  <c r="BL5" i="2" s="1"/>
  <c r="BD17" i="2"/>
  <c r="BK6" i="2"/>
  <c r="BL6" i="2" s="1"/>
  <c r="M57" i="1"/>
  <c r="Q58" i="1" s="1"/>
  <c r="D7" i="4" s="1"/>
  <c r="BC16" i="2"/>
  <c r="BJ6" i="2"/>
  <c r="V57" i="1"/>
  <c r="W57" i="1"/>
  <c r="X57" i="1"/>
  <c r="Y57" i="1"/>
  <c r="Z57" i="1"/>
  <c r="AA57" i="1"/>
  <c r="AB57" i="1"/>
  <c r="AC57" i="1"/>
  <c r="AD57" i="1"/>
  <c r="AE57" i="1"/>
  <c r="T57" i="1"/>
  <c r="E57" i="1"/>
  <c r="F57" i="1"/>
  <c r="G57" i="1"/>
  <c r="H57" i="1"/>
  <c r="I57" i="1"/>
  <c r="J57" i="1"/>
  <c r="K57" i="1"/>
  <c r="L57" i="1"/>
  <c r="D57" i="1"/>
  <c r="BL7" i="2" l="1"/>
  <c r="BM7" i="2" s="1"/>
  <c r="BL13" i="2"/>
  <c r="BM13" i="2" s="1"/>
  <c r="R58" i="1"/>
  <c r="D8" i="4" s="1"/>
  <c r="O58" i="1"/>
  <c r="D5" i="4" s="1"/>
  <c r="S58" i="1"/>
  <c r="D9" i="4" s="1"/>
  <c r="BE17" i="2"/>
  <c r="BK16" i="2"/>
  <c r="G59" i="5" s="1"/>
  <c r="BJ17" i="2"/>
  <c r="BK17" i="2"/>
  <c r="H59" i="5" s="1"/>
  <c r="P58" i="1"/>
  <c r="D6" i="4" s="1"/>
  <c r="N58" i="1"/>
  <c r="D4" i="4" s="1"/>
  <c r="BJ16" i="2"/>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6" i="1"/>
  <c r="BM5" i="2" l="1"/>
  <c r="BL17" i="2"/>
  <c r="U56" i="1"/>
  <c r="U57" i="1"/>
  <c r="BL16" i="2"/>
  <c r="BM6" i="2"/>
  <c r="BM16" i="2" l="1"/>
  <c r="G60" i="5" s="1"/>
  <c r="B13" i="6" s="1"/>
  <c r="BM17" i="2"/>
  <c r="H60" i="5" s="1"/>
</calcChain>
</file>

<file path=xl/comments1.xml><?xml version="1.0" encoding="utf-8"?>
<comments xmlns="http://schemas.openxmlformats.org/spreadsheetml/2006/main">
  <authors>
    <author>Andi</author>
  </authors>
  <commentList>
    <comment ref="D4" authorId="0" shapeId="0">
      <text>
        <r>
          <rPr>
            <b/>
            <sz val="9"/>
            <color indexed="81"/>
            <rFont val="Tahoma"/>
            <charset val="1"/>
          </rPr>
          <t>Andi:</t>
        </r>
        <r>
          <rPr>
            <sz val="9"/>
            <color indexed="81"/>
            <rFont val="Tahoma"/>
            <charset val="1"/>
          </rPr>
          <t xml:space="preserve">
1. 20 - 30 tahun 
2. 30 - 40 tahun 
3. 40 - 50 tahun
4. &gt; 50 tahun</t>
        </r>
      </text>
    </comment>
    <comment ref="E4" authorId="0" shapeId="0">
      <text>
        <r>
          <rPr>
            <b/>
            <sz val="9"/>
            <color indexed="81"/>
            <rFont val="Tahoma"/>
            <family val="2"/>
          </rPr>
          <t>Andi:</t>
        </r>
        <r>
          <rPr>
            <sz val="9"/>
            <color indexed="81"/>
            <rFont val="Tahoma"/>
            <family val="2"/>
          </rPr>
          <t xml:space="preserve">
1. pria
2. wanita</t>
        </r>
      </text>
    </comment>
    <comment ref="F4" authorId="0" shapeId="0">
      <text>
        <r>
          <rPr>
            <b/>
            <sz val="9"/>
            <color indexed="81"/>
            <rFont val="Tahoma"/>
            <family val="2"/>
          </rPr>
          <t>Andi:</t>
        </r>
        <r>
          <rPr>
            <sz val="9"/>
            <color indexed="81"/>
            <rFont val="Tahoma"/>
            <family val="2"/>
          </rPr>
          <t xml:space="preserve">
1. Tidak sekolah
2. Tamatan SD atau sederajat
3. Tamatan SMP atau sederajat
4. Tamatan SMA atau sederajat
5. Tamatan Dilploma atau sarjana</t>
        </r>
      </text>
    </comment>
    <comment ref="G4" authorId="0" shapeId="0">
      <text>
        <r>
          <rPr>
            <b/>
            <sz val="9"/>
            <color indexed="81"/>
            <rFont val="Tahoma"/>
            <family val="2"/>
          </rPr>
          <t>Andi:</t>
        </r>
        <r>
          <rPr>
            <sz val="9"/>
            <color indexed="81"/>
            <rFont val="Tahoma"/>
            <family val="2"/>
          </rPr>
          <t xml:space="preserve">
1. 1 - 3 tahun
2. 3 - 5 tahun
3. &gt; 5 tahun</t>
        </r>
      </text>
    </comment>
    <comment ref="H4" authorId="0" shapeId="0">
      <text>
        <r>
          <rPr>
            <b/>
            <sz val="9"/>
            <color indexed="81"/>
            <rFont val="Tahoma"/>
            <family val="2"/>
          </rPr>
          <t>Andi:</t>
        </r>
        <r>
          <rPr>
            <sz val="9"/>
            <color indexed="81"/>
            <rFont val="Tahoma"/>
            <family val="2"/>
          </rPr>
          <t xml:space="preserve">
1. Tidak ada tanggungan
2. 1 - 3 orang 
3. 3 - 5 orang 
4. &gt; 5 orang</t>
        </r>
      </text>
    </comment>
    <comment ref="I4" authorId="0" shapeId="0">
      <text>
        <r>
          <rPr>
            <b/>
            <sz val="9"/>
            <color indexed="81"/>
            <rFont val="Tahoma"/>
            <family val="2"/>
          </rPr>
          <t>Andi:</t>
        </r>
        <r>
          <rPr>
            <sz val="9"/>
            <color indexed="81"/>
            <rFont val="Tahoma"/>
            <family val="2"/>
          </rPr>
          <t xml:space="preserve">
1. 0 GT
2. 3 GT
3. 5 GT
4. 7 GT
5. 10 GT</t>
        </r>
      </text>
    </comment>
    <comment ref="J4" authorId="0" shapeId="0">
      <text>
        <r>
          <rPr>
            <b/>
            <sz val="9"/>
            <color indexed="81"/>
            <rFont val="Tahoma"/>
            <family val="2"/>
          </rPr>
          <t>Andi:</t>
        </r>
        <r>
          <rPr>
            <sz val="9"/>
            <color indexed="81"/>
            <rFont val="Tahoma"/>
            <family val="2"/>
          </rPr>
          <t xml:space="preserve">
1. Kecil : &lt; 7 meter 
2. Sedang : 7 - 10 meter
3. Besar : &gt; 10 meter</t>
        </r>
      </text>
    </comment>
    <comment ref="K4" authorId="0" shapeId="0">
      <text>
        <r>
          <rPr>
            <b/>
            <sz val="9"/>
            <color indexed="81"/>
            <rFont val="Tahoma"/>
            <family val="2"/>
          </rPr>
          <t>Andi:</t>
        </r>
        <r>
          <rPr>
            <sz val="9"/>
            <color indexed="81"/>
            <rFont val="Tahoma"/>
            <family val="2"/>
          </rPr>
          <t xml:space="preserve">
1. &lt; 1 tahun
2. 1 - 3 tahun 
3. 3 - 5  tahun 
4. &gt; 5 tahun</t>
        </r>
      </text>
    </comment>
    <comment ref="L4" authorId="0" shapeId="0">
      <text>
        <r>
          <rPr>
            <b/>
            <sz val="9"/>
            <color indexed="81"/>
            <rFont val="Tahoma"/>
            <family val="2"/>
          </rPr>
          <t xml:space="preserve">Andi:
</t>
        </r>
        <r>
          <rPr>
            <sz val="9"/>
            <color indexed="81"/>
            <rFont val="Tahoma"/>
            <family val="2"/>
          </rPr>
          <t>0. Tanpa alat tangkap
1. Jaring angkat (jala)
2. Jaring lingkar
3. Pukat
4. Pancing
5. Trawl 
6. Payang 
7. Jaring insang hanyut 
8. Rawai
9. Pukat cincin
10. Bubu 
11. Lainnya</t>
        </r>
      </text>
    </comment>
    <comment ref="N4" authorId="0" shapeId="0">
      <text>
        <r>
          <rPr>
            <b/>
            <sz val="9"/>
            <color indexed="81"/>
            <rFont val="Tahoma"/>
            <family val="2"/>
          </rPr>
          <t>Andi:</t>
        </r>
        <r>
          <rPr>
            <sz val="9"/>
            <color indexed="81"/>
            <rFont val="Tahoma"/>
            <family val="2"/>
          </rPr>
          <t xml:space="preserve">
Jawaban : 
0 = tidak memilih
1 = memilih</t>
        </r>
      </text>
    </comment>
    <comment ref="V4" authorId="0" shapeId="0">
      <text>
        <r>
          <rPr>
            <b/>
            <sz val="9"/>
            <color indexed="81"/>
            <rFont val="Tahoma"/>
            <charset val="1"/>
          </rPr>
          <t>Andi:</t>
        </r>
        <r>
          <rPr>
            <sz val="9"/>
            <color indexed="81"/>
            <rFont val="Tahoma"/>
            <charset val="1"/>
          </rPr>
          <t xml:space="preserve">
1. Semakin banyak (meningkat)
2. Semakin sedikit (menurun)
3. Tetap (sama setiap tahun)</t>
        </r>
      </text>
    </comment>
    <comment ref="W4" authorId="0" shapeId="0">
      <text>
        <r>
          <rPr>
            <b/>
            <sz val="9"/>
            <color indexed="81"/>
            <rFont val="Tahoma"/>
            <family val="2"/>
          </rPr>
          <t>Andi:</t>
        </r>
        <r>
          <rPr>
            <sz val="9"/>
            <color indexed="81"/>
            <rFont val="Tahoma"/>
            <family val="2"/>
          </rPr>
          <t xml:space="preserve">
1. Sedikit (1 - 3 sampah per meter persegi)
2. Sedang (3 - 5 sampah per meter persegi)
3. Banyak (&gt; 5 sampah per meter persegi)</t>
        </r>
      </text>
    </comment>
    <comment ref="X4" authorId="0" shapeId="0">
      <text>
        <r>
          <rPr>
            <b/>
            <sz val="9"/>
            <color indexed="81"/>
            <rFont val="Tahoma"/>
            <family val="2"/>
          </rPr>
          <t>Andi:</t>
        </r>
        <r>
          <rPr>
            <sz val="9"/>
            <color indexed="81"/>
            <rFont val="Tahoma"/>
            <family val="2"/>
          </rPr>
          <t xml:space="preserve">
1. Plastik kemasan
2. Botol plastik
3. Styrofoam 
4. Peralatan rumah tangga yang terbuat dari plastik
5. Jaring alat tangkap ikan nelayan yang sudah tidak terpakai
6. Komponen perahu/kapal yang terbuat dari plastik</t>
        </r>
      </text>
    </comment>
    <comment ref="Y4" authorId="0" shapeId="0">
      <text>
        <r>
          <rPr>
            <b/>
            <sz val="9"/>
            <color indexed="81"/>
            <rFont val="Tahoma"/>
            <family val="2"/>
          </rPr>
          <t>Andi:</t>
        </r>
        <r>
          <rPr>
            <sz val="9"/>
            <color indexed="81"/>
            <rFont val="Tahoma"/>
            <family val="2"/>
          </rPr>
          <t xml:space="preserve">
1. Plastik kemasan
2. Botol plastik
3. Styofoam 
4. Peralatan rumah tangga yang terbuat dari plastik
5. Jaring alat tangkap ikan nelayan yang sudah tidak terpakai
6. Badan perahu/kapal yang terbuat dari plastik</t>
        </r>
      </text>
    </comment>
    <comment ref="Z4" authorId="0" shapeId="0">
      <text>
        <r>
          <rPr>
            <b/>
            <sz val="9"/>
            <color indexed="81"/>
            <rFont val="Tahoma"/>
            <family val="2"/>
          </rPr>
          <t>Andi:</t>
        </r>
        <r>
          <rPr>
            <sz val="9"/>
            <color indexed="81"/>
            <rFont val="Tahoma"/>
            <family val="2"/>
          </rPr>
          <t xml:space="preserve">
1. Dibuang kembali ke laut
2. Jika ada sampah yang bernilai ekonomis dibawa ke daratan untuk dikelola
3. Lainnya
</t>
        </r>
      </text>
    </comment>
    <comment ref="AA4" authorId="0" shapeId="0">
      <text>
        <r>
          <rPr>
            <b/>
            <sz val="9"/>
            <color indexed="81"/>
            <rFont val="Tahoma"/>
            <family val="2"/>
          </rPr>
          <t>Andi:</t>
        </r>
        <r>
          <rPr>
            <sz val="9"/>
            <color indexed="81"/>
            <rFont val="Tahoma"/>
            <family val="2"/>
          </rPr>
          <t xml:space="preserve">
1. Sering (4 - 6 kali dalam setahun)
2. Sedang (2 - 4 kali dalam setahun)
3. Jarang ( 0 - 2 kali dalam setahun)</t>
        </r>
      </text>
    </comment>
    <comment ref="AB4" authorId="0" shapeId="0">
      <text>
        <r>
          <rPr>
            <b/>
            <sz val="9"/>
            <color indexed="81"/>
            <rFont val="Tahoma"/>
            <family val="2"/>
          </rPr>
          <t>Andi:</t>
        </r>
        <r>
          <rPr>
            <sz val="9"/>
            <color indexed="81"/>
            <rFont val="Tahoma"/>
            <family val="2"/>
          </rPr>
          <t xml:space="preserve">
1. Pemerintah daerah (dinas/instansi)
2. Lembaga Swadaya Masyarakat (LSM)
3. Organisasi masyarakat (komunitas)
4. Sekolah/Perguruan Tinggi
5. Kementerian / Lembaga (pemerintah pusat)</t>
        </r>
      </text>
    </comment>
    <comment ref="AC4" authorId="0" shapeId="0">
      <text>
        <r>
          <rPr>
            <b/>
            <sz val="9"/>
            <color indexed="81"/>
            <rFont val="Tahoma"/>
            <family val="2"/>
          </rPr>
          <t>Andi:</t>
        </r>
        <r>
          <rPr>
            <sz val="9"/>
            <color indexed="81"/>
            <rFont val="Tahoma"/>
            <family val="2"/>
          </rPr>
          <t xml:space="preserve">
1. Ya 
2. Tidak selalu
3. Tidak</t>
        </r>
      </text>
    </comment>
    <comment ref="AD4" authorId="0" shapeId="0">
      <text>
        <r>
          <rPr>
            <b/>
            <sz val="9"/>
            <color indexed="81"/>
            <rFont val="Tahoma"/>
            <family val="2"/>
          </rPr>
          <t>Andi:</t>
        </r>
        <r>
          <rPr>
            <sz val="9"/>
            <color indexed="81"/>
            <rFont val="Tahoma"/>
            <family val="2"/>
          </rPr>
          <t xml:space="preserve">
1. Sering (2 - 4 kali dalam tiga bulan)
2. Jarang (1 - 2 kali dalam tiga bulan)
3. Tidak pernah</t>
        </r>
      </text>
    </comment>
    <comment ref="AE4" authorId="0" shapeId="0">
      <text>
        <r>
          <rPr>
            <b/>
            <sz val="9"/>
            <color indexed="81"/>
            <rFont val="Tahoma"/>
            <family val="2"/>
          </rPr>
          <t xml:space="preserve">Andi:
</t>
        </r>
        <r>
          <rPr>
            <sz val="9"/>
            <color indexed="81"/>
            <rFont val="Tahoma"/>
            <family val="2"/>
          </rPr>
          <t xml:space="preserve">0. Tidak pernah mengelola sampah plastik 
1. Atas inisiatif sendiri
2. Atas anjuran organisasi/LSM/Pemerintah
3. Karena dapat dimanfaatkan
4. Karena dapat menimbulkan dampak ekonomi </t>
        </r>
      </text>
    </comment>
    <comment ref="N5" authorId="0" shapeId="0">
      <text>
        <r>
          <rPr>
            <b/>
            <sz val="9"/>
            <color indexed="81"/>
            <rFont val="Tahoma"/>
            <family val="2"/>
          </rPr>
          <t>Andi:</t>
        </r>
        <r>
          <rPr>
            <sz val="9"/>
            <color indexed="81"/>
            <rFont val="Tahoma"/>
            <family val="2"/>
          </rPr>
          <t xml:space="preserve">
1. Industri besar (pabrik)</t>
        </r>
      </text>
    </comment>
    <comment ref="O5" authorId="0" shapeId="0">
      <text>
        <r>
          <rPr>
            <b/>
            <sz val="9"/>
            <color indexed="81"/>
            <rFont val="Tahoma"/>
            <family val="2"/>
          </rPr>
          <t>Andi:</t>
        </r>
        <r>
          <rPr>
            <sz val="9"/>
            <color indexed="81"/>
            <rFont val="Tahoma"/>
            <family val="2"/>
          </rPr>
          <t xml:space="preserve">
2. Industri skala kecil-menengah</t>
        </r>
      </text>
    </comment>
    <comment ref="P5" authorId="0" shapeId="0">
      <text>
        <r>
          <rPr>
            <b/>
            <sz val="9"/>
            <color indexed="81"/>
            <rFont val="Tahoma"/>
            <family val="2"/>
          </rPr>
          <t>Andi:</t>
        </r>
        <r>
          <rPr>
            <sz val="9"/>
            <color indexed="81"/>
            <rFont val="Tahoma"/>
            <family val="2"/>
          </rPr>
          <t xml:space="preserve">
3. Rumah makan atau restoran</t>
        </r>
      </text>
    </comment>
    <comment ref="Q5" authorId="0" shapeId="0">
      <text>
        <r>
          <rPr>
            <b/>
            <sz val="9"/>
            <color indexed="81"/>
            <rFont val="Tahoma"/>
            <family val="2"/>
          </rPr>
          <t>Andi:</t>
        </r>
        <r>
          <rPr>
            <sz val="9"/>
            <color indexed="81"/>
            <rFont val="Tahoma"/>
            <family val="2"/>
          </rPr>
          <t xml:space="preserve">
4. Wisatawan</t>
        </r>
      </text>
    </comment>
    <comment ref="R5" authorId="0" shapeId="0">
      <text>
        <r>
          <rPr>
            <b/>
            <sz val="9"/>
            <color indexed="81"/>
            <rFont val="Tahoma"/>
            <family val="2"/>
          </rPr>
          <t>Andi:</t>
        </r>
        <r>
          <rPr>
            <sz val="9"/>
            <color indexed="81"/>
            <rFont val="Tahoma"/>
            <family val="2"/>
          </rPr>
          <t xml:space="preserve">
5. Aktivitas perikanan</t>
        </r>
      </text>
    </comment>
    <comment ref="S5" authorId="0" shapeId="0">
      <text>
        <r>
          <rPr>
            <b/>
            <sz val="9"/>
            <color indexed="81"/>
            <rFont val="Tahoma"/>
            <family val="2"/>
          </rPr>
          <t>Andi:</t>
        </r>
        <r>
          <rPr>
            <sz val="9"/>
            <color indexed="81"/>
            <rFont val="Tahoma"/>
            <family val="2"/>
          </rPr>
          <t xml:space="preserve">
6. Masyrakat lokal</t>
        </r>
      </text>
    </comment>
    <comment ref="U56" authorId="0" shapeId="0">
      <text>
        <r>
          <rPr>
            <b/>
            <sz val="9"/>
            <color indexed="81"/>
            <rFont val="Tahoma"/>
            <family val="2"/>
          </rPr>
          <t>Andi:</t>
        </r>
        <r>
          <rPr>
            <sz val="9"/>
            <color indexed="81"/>
            <rFont val="Tahoma"/>
            <family val="2"/>
          </rPr>
          <t xml:space="preserve">
Peluang rata-rata nelayan mengalami gangguan sampah plastik laut</t>
        </r>
      </text>
    </comment>
    <comment ref="D58" authorId="0" shapeId="0">
      <text>
        <r>
          <rPr>
            <b/>
            <sz val="9"/>
            <color indexed="81"/>
            <rFont val="Tahoma"/>
            <family val="2"/>
          </rPr>
          <t>Andi:</t>
        </r>
        <r>
          <rPr>
            <sz val="9"/>
            <color indexed="81"/>
            <rFont val="Tahoma"/>
            <family val="2"/>
          </rPr>
          <t xml:space="preserve">
% umur nelayan 20 - 30 tahun</t>
        </r>
      </text>
    </comment>
    <comment ref="E58" authorId="0" shapeId="0">
      <text>
        <r>
          <rPr>
            <b/>
            <sz val="9"/>
            <color indexed="81"/>
            <rFont val="Tahoma"/>
            <family val="2"/>
          </rPr>
          <t>Andi:</t>
        </r>
        <r>
          <rPr>
            <sz val="9"/>
            <color indexed="81"/>
            <rFont val="Tahoma"/>
            <family val="2"/>
          </rPr>
          <t xml:space="preserve">
% responden nelayan berjenis kelamin pria</t>
        </r>
      </text>
    </comment>
    <comment ref="F58" authorId="0" shapeId="0">
      <text>
        <r>
          <rPr>
            <b/>
            <sz val="9"/>
            <color indexed="81"/>
            <rFont val="Tahoma"/>
            <family val="2"/>
          </rPr>
          <t>Andi:</t>
        </r>
        <r>
          <rPr>
            <sz val="9"/>
            <color indexed="81"/>
            <rFont val="Tahoma"/>
            <family val="2"/>
          </rPr>
          <t xml:space="preserve">
% pendidikan nelayan yang tidak sekolah</t>
        </r>
      </text>
    </comment>
    <comment ref="G58" authorId="0" shapeId="0">
      <text>
        <r>
          <rPr>
            <b/>
            <sz val="9"/>
            <color indexed="81"/>
            <rFont val="Tahoma"/>
            <family val="2"/>
          </rPr>
          <t>Andi:</t>
        </r>
        <r>
          <rPr>
            <sz val="9"/>
            <color indexed="81"/>
            <rFont val="Tahoma"/>
            <family val="2"/>
          </rPr>
          <t xml:space="preserve">
% pengalaman sebagai nelayan 1 - 3 tahun</t>
        </r>
      </text>
    </comment>
    <comment ref="H58" authorId="0" shapeId="0">
      <text>
        <r>
          <rPr>
            <b/>
            <sz val="9"/>
            <color indexed="81"/>
            <rFont val="Tahoma"/>
            <family val="2"/>
          </rPr>
          <t>Andi:</t>
        </r>
        <r>
          <rPr>
            <sz val="9"/>
            <color indexed="81"/>
            <rFont val="Tahoma"/>
            <family val="2"/>
          </rPr>
          <t xml:space="preserve">
% nelayan tidak memiliki tanggungan</t>
        </r>
      </text>
    </comment>
    <comment ref="I58" authorId="0" shapeId="0">
      <text>
        <r>
          <rPr>
            <b/>
            <sz val="9"/>
            <color indexed="81"/>
            <rFont val="Tahoma"/>
            <family val="2"/>
          </rPr>
          <t>Andi:</t>
        </r>
        <r>
          <rPr>
            <sz val="9"/>
            <color indexed="81"/>
            <rFont val="Tahoma"/>
            <family val="2"/>
          </rPr>
          <t xml:space="preserve">
% nelayan 0 GT</t>
        </r>
      </text>
    </comment>
    <comment ref="J58" authorId="0" shapeId="0">
      <text>
        <r>
          <rPr>
            <b/>
            <sz val="9"/>
            <color indexed="81"/>
            <rFont val="Tahoma"/>
            <family val="2"/>
          </rPr>
          <t>Andi:</t>
        </r>
        <r>
          <rPr>
            <sz val="9"/>
            <color indexed="81"/>
            <rFont val="Tahoma"/>
            <family val="2"/>
          </rPr>
          <t xml:space="preserve">
% ukuran kapan &lt; 7 meter</t>
        </r>
      </text>
    </comment>
    <comment ref="K58" authorId="0" shapeId="0">
      <text>
        <r>
          <rPr>
            <b/>
            <sz val="9"/>
            <color indexed="81"/>
            <rFont val="Tahoma"/>
            <family val="2"/>
          </rPr>
          <t>Andi:</t>
        </r>
        <r>
          <rPr>
            <sz val="9"/>
            <color indexed="81"/>
            <rFont val="Tahoma"/>
            <family val="2"/>
          </rPr>
          <t xml:space="preserve">
% umur kapal &lt; 1  tahun</t>
        </r>
      </text>
    </comment>
    <comment ref="L58" authorId="0" shapeId="0">
      <text>
        <r>
          <rPr>
            <b/>
            <sz val="9"/>
            <color indexed="81"/>
            <rFont val="Tahoma"/>
            <family val="2"/>
          </rPr>
          <t>Andi:</t>
        </r>
        <r>
          <rPr>
            <sz val="9"/>
            <color indexed="81"/>
            <rFont val="Tahoma"/>
            <family val="2"/>
          </rPr>
          <t xml:space="preserve">
% tidak menggunakan alat tangkap</t>
        </r>
      </text>
    </comment>
    <comment ref="N58" authorId="0" shapeId="0">
      <text>
        <r>
          <rPr>
            <b/>
            <sz val="9"/>
            <color indexed="81"/>
            <rFont val="Tahoma"/>
            <family val="2"/>
          </rPr>
          <t>Andi:</t>
        </r>
        <r>
          <rPr>
            <sz val="9"/>
            <color indexed="81"/>
            <rFont val="Tahoma"/>
            <family val="2"/>
          </rPr>
          <t xml:space="preserve">
% bersumber dari industri besar (pabrik)</t>
        </r>
      </text>
    </comment>
    <comment ref="O58" authorId="0" shapeId="0">
      <text>
        <r>
          <rPr>
            <b/>
            <sz val="9"/>
            <color indexed="81"/>
            <rFont val="Tahoma"/>
            <family val="2"/>
          </rPr>
          <t>Andi:</t>
        </r>
        <r>
          <rPr>
            <sz val="9"/>
            <color indexed="81"/>
            <rFont val="Tahoma"/>
            <family val="2"/>
          </rPr>
          <t xml:space="preserve">
% bersumber dari industri skala kecil-menengah</t>
        </r>
      </text>
    </comment>
    <comment ref="P58" authorId="0" shapeId="0">
      <text>
        <r>
          <rPr>
            <b/>
            <sz val="9"/>
            <color indexed="81"/>
            <rFont val="Tahoma"/>
            <family val="2"/>
          </rPr>
          <t>Andi:</t>
        </r>
        <r>
          <rPr>
            <sz val="9"/>
            <color indexed="81"/>
            <rFont val="Tahoma"/>
            <family val="2"/>
          </rPr>
          <t xml:space="preserve">
% bersumber dari rumah makan atau restoran</t>
        </r>
      </text>
    </comment>
    <comment ref="Q58" authorId="0" shapeId="0">
      <text>
        <r>
          <rPr>
            <b/>
            <sz val="9"/>
            <color indexed="81"/>
            <rFont val="Tahoma"/>
            <family val="2"/>
          </rPr>
          <t>Andi:</t>
        </r>
        <r>
          <rPr>
            <sz val="9"/>
            <color indexed="81"/>
            <rFont val="Tahoma"/>
            <family val="2"/>
          </rPr>
          <t xml:space="preserve">
% bersumber dari aktivitas wisatawan</t>
        </r>
      </text>
    </comment>
    <comment ref="R58" authorId="0" shapeId="0">
      <text>
        <r>
          <rPr>
            <b/>
            <sz val="9"/>
            <color indexed="81"/>
            <rFont val="Tahoma"/>
            <family val="2"/>
          </rPr>
          <t>Andi:</t>
        </r>
        <r>
          <rPr>
            <sz val="9"/>
            <color indexed="81"/>
            <rFont val="Tahoma"/>
            <family val="2"/>
          </rPr>
          <t xml:space="preserve">
% bersumber dari aktivitas perikanan (tangkap dan budidaya)</t>
        </r>
      </text>
    </comment>
    <comment ref="S58" authorId="0" shapeId="0">
      <text>
        <r>
          <rPr>
            <b/>
            <sz val="9"/>
            <color indexed="81"/>
            <rFont val="Tahoma"/>
            <family val="2"/>
          </rPr>
          <t>Andi:</t>
        </r>
        <r>
          <rPr>
            <sz val="9"/>
            <color indexed="81"/>
            <rFont val="Tahoma"/>
            <family val="2"/>
          </rPr>
          <t xml:space="preserve">
% bersumber dari masyarakat setempat (penduduk lokal)</t>
        </r>
      </text>
    </comment>
    <comment ref="T58" authorId="0" shapeId="0">
      <text>
        <r>
          <rPr>
            <b/>
            <sz val="9"/>
            <color indexed="81"/>
            <rFont val="Tahoma"/>
            <family val="2"/>
          </rPr>
          <t>Andi:</t>
        </r>
        <r>
          <rPr>
            <sz val="9"/>
            <color indexed="81"/>
            <rFont val="Tahoma"/>
            <family val="2"/>
          </rPr>
          <t xml:space="preserve">
% tidak ada sampah plastik dalam seminggu</t>
        </r>
      </text>
    </comment>
    <comment ref="V58" authorId="0" shapeId="0">
      <text>
        <r>
          <rPr>
            <b/>
            <sz val="9"/>
            <color indexed="81"/>
            <rFont val="Tahoma"/>
            <family val="2"/>
          </rPr>
          <t>Andi:</t>
        </r>
        <r>
          <rPr>
            <sz val="9"/>
            <color indexed="81"/>
            <rFont val="Tahoma"/>
            <family val="2"/>
          </rPr>
          <t xml:space="preserve">
% menurut nelayan  sampah plastik semakin banyak (meningkat)</t>
        </r>
      </text>
    </comment>
    <comment ref="W58" authorId="0" shapeId="0">
      <text>
        <r>
          <rPr>
            <b/>
            <sz val="9"/>
            <color indexed="81"/>
            <rFont val="Tahoma"/>
            <family val="2"/>
          </rPr>
          <t>Andi:</t>
        </r>
        <r>
          <rPr>
            <sz val="9"/>
            <color indexed="81"/>
            <rFont val="Tahoma"/>
            <family val="2"/>
          </rPr>
          <t xml:space="preserve">
% nelayan memperkirakan sampah plastik sedikit (1-3 sampah per m2)</t>
        </r>
      </text>
    </comment>
    <comment ref="X58" authorId="0" shapeId="0">
      <text>
        <r>
          <rPr>
            <b/>
            <sz val="9"/>
            <color indexed="81"/>
            <rFont val="Tahoma"/>
            <family val="2"/>
          </rPr>
          <t>Andi:</t>
        </r>
        <r>
          <rPr>
            <sz val="9"/>
            <color indexed="81"/>
            <rFont val="Tahoma"/>
            <family val="2"/>
          </rPr>
          <t xml:space="preserve">
% plastik kemasan meningkat</t>
        </r>
      </text>
    </comment>
    <comment ref="Y58" authorId="0" shapeId="0">
      <text>
        <r>
          <rPr>
            <b/>
            <sz val="9"/>
            <color indexed="81"/>
            <rFont val="Tahoma"/>
            <family val="2"/>
          </rPr>
          <t>Andi:</t>
        </r>
        <r>
          <rPr>
            <sz val="9"/>
            <color indexed="81"/>
            <rFont val="Tahoma"/>
            <family val="2"/>
          </rPr>
          <t xml:space="preserve">
% plastik kemasan menurun</t>
        </r>
      </text>
    </comment>
    <comment ref="Z58" authorId="0" shapeId="0">
      <text>
        <r>
          <rPr>
            <b/>
            <sz val="9"/>
            <color indexed="81"/>
            <rFont val="Tahoma"/>
            <family val="2"/>
          </rPr>
          <t>Andi:</t>
        </r>
        <r>
          <rPr>
            <sz val="9"/>
            <color indexed="81"/>
            <rFont val="Tahoma"/>
            <family val="2"/>
          </rPr>
          <t xml:space="preserve">
% sampah plastik yang ditemukan dibuang kembali kelaut</t>
        </r>
      </text>
    </comment>
    <comment ref="AA58" authorId="0" shapeId="0">
      <text>
        <r>
          <rPr>
            <b/>
            <sz val="9"/>
            <color indexed="81"/>
            <rFont val="Tahoma"/>
            <family val="2"/>
          </rPr>
          <t>Andi:</t>
        </r>
        <r>
          <rPr>
            <sz val="9"/>
            <color indexed="81"/>
            <rFont val="Tahoma"/>
            <family val="2"/>
          </rPr>
          <t xml:space="preserve">
% program pengelolaan sampah plastik, sering dilakukan (4 - 6 kali dalam setahun)</t>
        </r>
      </text>
    </comment>
    <comment ref="AB58" authorId="0" shapeId="0">
      <text>
        <r>
          <rPr>
            <b/>
            <sz val="9"/>
            <color indexed="81"/>
            <rFont val="Tahoma"/>
            <family val="2"/>
          </rPr>
          <t>Andi:</t>
        </r>
        <r>
          <rPr>
            <sz val="9"/>
            <color indexed="81"/>
            <rFont val="Tahoma"/>
            <family val="2"/>
          </rPr>
          <t xml:space="preserve">
% dilakukan oleh pemerintah daerah</t>
        </r>
      </text>
    </comment>
    <comment ref="AC58" authorId="0" shapeId="0">
      <text>
        <r>
          <rPr>
            <b/>
            <sz val="9"/>
            <color indexed="81"/>
            <rFont val="Tahoma"/>
            <family val="2"/>
          </rPr>
          <t>Andi:</t>
        </r>
        <r>
          <rPr>
            <sz val="9"/>
            <color indexed="81"/>
            <rFont val="Tahoma"/>
            <family val="2"/>
          </rPr>
          <t xml:space="preserve">
% masyarakat dilibatkan</t>
        </r>
      </text>
    </comment>
    <comment ref="AD58" authorId="0" shapeId="0">
      <text>
        <r>
          <rPr>
            <b/>
            <sz val="9"/>
            <color indexed="81"/>
            <rFont val="Tahoma"/>
            <family val="2"/>
          </rPr>
          <t>Andi:</t>
        </r>
        <r>
          <rPr>
            <sz val="9"/>
            <color indexed="81"/>
            <rFont val="Tahoma"/>
            <family val="2"/>
          </rPr>
          <t xml:space="preserve">
% nelayan mengelola sampah plastik secara mandiri kategori sering (2 - 4 kali dalam tiga bulan)</t>
        </r>
      </text>
    </comment>
    <comment ref="AE58" authorId="0" shapeId="0">
      <text>
        <r>
          <rPr>
            <b/>
            <sz val="9"/>
            <color indexed="81"/>
            <rFont val="Tahoma"/>
            <family val="2"/>
          </rPr>
          <t>Andi:</t>
        </r>
        <r>
          <rPr>
            <sz val="9"/>
            <color indexed="81"/>
            <rFont val="Tahoma"/>
            <family val="2"/>
          </rPr>
          <t xml:space="preserve">
% pengelolaan sampah secara mandiri dilakukan atas inisitaif sendiri</t>
        </r>
      </text>
    </comment>
    <comment ref="D59" authorId="0" shapeId="0">
      <text>
        <r>
          <rPr>
            <b/>
            <sz val="9"/>
            <color indexed="81"/>
            <rFont val="Tahoma"/>
            <family val="2"/>
          </rPr>
          <t>Andi:</t>
        </r>
        <r>
          <rPr>
            <sz val="9"/>
            <color indexed="81"/>
            <rFont val="Tahoma"/>
            <family val="2"/>
          </rPr>
          <t xml:space="preserve">
% umur nelayan 30 - 40 tahun</t>
        </r>
      </text>
    </comment>
    <comment ref="E59" authorId="0" shapeId="0">
      <text>
        <r>
          <rPr>
            <b/>
            <sz val="9"/>
            <color indexed="81"/>
            <rFont val="Tahoma"/>
            <family val="2"/>
          </rPr>
          <t>Andi:</t>
        </r>
        <r>
          <rPr>
            <sz val="9"/>
            <color indexed="81"/>
            <rFont val="Tahoma"/>
            <family val="2"/>
          </rPr>
          <t xml:space="preserve">
% responden nelayan berjenis kelamin wanita </t>
        </r>
      </text>
    </comment>
    <comment ref="F59" authorId="0" shapeId="0">
      <text>
        <r>
          <rPr>
            <b/>
            <sz val="9"/>
            <color indexed="81"/>
            <rFont val="Tahoma"/>
            <family val="2"/>
          </rPr>
          <t>Andi:</t>
        </r>
        <r>
          <rPr>
            <sz val="9"/>
            <color indexed="81"/>
            <rFont val="Tahoma"/>
            <family val="2"/>
          </rPr>
          <t xml:space="preserve">
% tamatan SD atau sederajat</t>
        </r>
      </text>
    </comment>
    <comment ref="G59" authorId="0" shapeId="0">
      <text>
        <r>
          <rPr>
            <b/>
            <sz val="9"/>
            <color indexed="81"/>
            <rFont val="Tahoma"/>
            <family val="2"/>
          </rPr>
          <t>Andi:</t>
        </r>
        <r>
          <rPr>
            <sz val="9"/>
            <color indexed="81"/>
            <rFont val="Tahoma"/>
            <family val="2"/>
          </rPr>
          <t xml:space="preserve">
% pengalaman sebagai nelayan 3 - 5 tahun</t>
        </r>
      </text>
    </comment>
    <comment ref="H59" authorId="0" shapeId="0">
      <text>
        <r>
          <rPr>
            <b/>
            <sz val="9"/>
            <color indexed="81"/>
            <rFont val="Tahoma"/>
            <family val="2"/>
          </rPr>
          <t>Andi:</t>
        </r>
        <r>
          <rPr>
            <sz val="9"/>
            <color indexed="81"/>
            <rFont val="Tahoma"/>
            <family val="2"/>
          </rPr>
          <t xml:space="preserve">
% nelayan yang memiliki tanggungan 1 - 3 orang</t>
        </r>
      </text>
    </comment>
    <comment ref="I59" authorId="0" shapeId="0">
      <text>
        <r>
          <rPr>
            <b/>
            <sz val="9"/>
            <color indexed="81"/>
            <rFont val="Tahoma"/>
            <family val="2"/>
          </rPr>
          <t>Andi:</t>
        </r>
        <r>
          <rPr>
            <sz val="9"/>
            <color indexed="81"/>
            <rFont val="Tahoma"/>
            <family val="2"/>
          </rPr>
          <t xml:space="preserve">
% nelayan 3 GT</t>
        </r>
      </text>
    </comment>
    <comment ref="J59" authorId="0" shapeId="0">
      <text>
        <r>
          <rPr>
            <b/>
            <sz val="9"/>
            <color indexed="81"/>
            <rFont val="Tahoma"/>
            <family val="2"/>
          </rPr>
          <t>Andi:</t>
        </r>
        <r>
          <rPr>
            <sz val="9"/>
            <color indexed="81"/>
            <rFont val="Tahoma"/>
            <family val="2"/>
          </rPr>
          <t xml:space="preserve">
% ukuran kapal 7 - 10 meter</t>
        </r>
      </text>
    </comment>
    <comment ref="K59" authorId="0" shapeId="0">
      <text>
        <r>
          <rPr>
            <b/>
            <sz val="9"/>
            <color indexed="81"/>
            <rFont val="Tahoma"/>
            <family val="2"/>
          </rPr>
          <t>Andi:</t>
        </r>
        <r>
          <rPr>
            <sz val="9"/>
            <color indexed="81"/>
            <rFont val="Tahoma"/>
            <family val="2"/>
          </rPr>
          <t xml:space="preserve">
% umur kapal 1 - 3 tahun</t>
        </r>
      </text>
    </comment>
    <comment ref="L59" authorId="0" shapeId="0">
      <text>
        <r>
          <rPr>
            <b/>
            <sz val="9"/>
            <color indexed="81"/>
            <rFont val="Tahoma"/>
            <family val="2"/>
          </rPr>
          <t>Andi:</t>
        </r>
        <r>
          <rPr>
            <sz val="9"/>
            <color indexed="81"/>
            <rFont val="Tahoma"/>
            <family val="2"/>
          </rPr>
          <t xml:space="preserve">
% alat tangkap jaring angkat (jala)</t>
        </r>
      </text>
    </comment>
    <comment ref="T59" authorId="0" shapeId="0">
      <text>
        <r>
          <rPr>
            <b/>
            <sz val="9"/>
            <color indexed="81"/>
            <rFont val="Tahoma"/>
            <family val="2"/>
          </rPr>
          <t>Andi:</t>
        </r>
        <r>
          <rPr>
            <sz val="9"/>
            <color indexed="81"/>
            <rFont val="Tahoma"/>
            <family val="2"/>
          </rPr>
          <t xml:space="preserve">
% banyaknya sampah plastik 1 hari dalam seminggu</t>
        </r>
      </text>
    </comment>
    <comment ref="V59" authorId="0" shapeId="0">
      <text>
        <r>
          <rPr>
            <b/>
            <sz val="9"/>
            <color indexed="81"/>
            <rFont val="Tahoma"/>
            <family val="2"/>
          </rPr>
          <t>Andi:</t>
        </r>
        <r>
          <rPr>
            <sz val="9"/>
            <color indexed="81"/>
            <rFont val="Tahoma"/>
            <family val="2"/>
          </rPr>
          <t xml:space="preserve">
% menurut nelayan sampah plastik semakin sedikit (menurun)</t>
        </r>
      </text>
    </comment>
    <comment ref="W59" authorId="0" shapeId="0">
      <text>
        <r>
          <rPr>
            <b/>
            <sz val="9"/>
            <color indexed="81"/>
            <rFont val="Tahoma"/>
            <family val="2"/>
          </rPr>
          <t>Andi:</t>
        </r>
        <r>
          <rPr>
            <sz val="9"/>
            <color indexed="81"/>
            <rFont val="Tahoma"/>
            <family val="2"/>
          </rPr>
          <t xml:space="preserve">
% nelayan memperkirakan sampah plastik sedang (3-5 sampah per m2)</t>
        </r>
      </text>
    </comment>
    <comment ref="X59" authorId="0" shapeId="0">
      <text>
        <r>
          <rPr>
            <b/>
            <sz val="9"/>
            <color indexed="81"/>
            <rFont val="Tahoma"/>
            <family val="2"/>
          </rPr>
          <t xml:space="preserve">Andi:
</t>
        </r>
        <r>
          <rPr>
            <sz val="9"/>
            <color indexed="81"/>
            <rFont val="Tahoma"/>
            <family val="2"/>
          </rPr>
          <t>% botol plastik meningkat</t>
        </r>
      </text>
    </comment>
    <comment ref="Y59" authorId="0" shapeId="0">
      <text>
        <r>
          <rPr>
            <b/>
            <sz val="9"/>
            <color indexed="81"/>
            <rFont val="Tahoma"/>
            <family val="2"/>
          </rPr>
          <t>Andi:</t>
        </r>
        <r>
          <rPr>
            <sz val="9"/>
            <color indexed="81"/>
            <rFont val="Tahoma"/>
            <family val="2"/>
          </rPr>
          <t xml:space="preserve">
% botol plastik menurun</t>
        </r>
      </text>
    </comment>
    <comment ref="Z59" authorId="0" shapeId="0">
      <text>
        <r>
          <rPr>
            <b/>
            <sz val="9"/>
            <color indexed="81"/>
            <rFont val="Tahoma"/>
            <family val="2"/>
          </rPr>
          <t>Andi:</t>
        </r>
        <r>
          <rPr>
            <sz val="9"/>
            <color indexed="81"/>
            <rFont val="Tahoma"/>
            <family val="2"/>
          </rPr>
          <t xml:space="preserve">
% sampah plastik yang ditemukan dibawa ke daratan untuk dikelola</t>
        </r>
      </text>
    </comment>
    <comment ref="AA59" authorId="0" shapeId="0">
      <text>
        <r>
          <rPr>
            <b/>
            <sz val="9"/>
            <color indexed="81"/>
            <rFont val="Tahoma"/>
            <family val="2"/>
          </rPr>
          <t>Andi:</t>
        </r>
        <r>
          <rPr>
            <sz val="9"/>
            <color indexed="81"/>
            <rFont val="Tahoma"/>
            <family val="2"/>
          </rPr>
          <t xml:space="preserve">
% program pengelolaan sampah plastik, sedang (tidak terlalu sering) dilakukan (2 - 4 kali dalam setahun)</t>
        </r>
      </text>
    </comment>
    <comment ref="AB59" authorId="0" shapeId="0">
      <text>
        <r>
          <rPr>
            <b/>
            <sz val="9"/>
            <color indexed="81"/>
            <rFont val="Tahoma"/>
            <family val="2"/>
          </rPr>
          <t>Andi:</t>
        </r>
        <r>
          <rPr>
            <sz val="9"/>
            <color indexed="81"/>
            <rFont val="Tahoma"/>
            <family val="2"/>
          </rPr>
          <t xml:space="preserve">
% dilakukan oleh LSM</t>
        </r>
      </text>
    </comment>
    <comment ref="AC59" authorId="0" shapeId="0">
      <text>
        <r>
          <rPr>
            <b/>
            <sz val="9"/>
            <color indexed="81"/>
            <rFont val="Tahoma"/>
            <family val="2"/>
          </rPr>
          <t>Andi:</t>
        </r>
        <r>
          <rPr>
            <sz val="9"/>
            <color indexed="81"/>
            <rFont val="Tahoma"/>
            <family val="2"/>
          </rPr>
          <t xml:space="preserve">
% masyarakat tidak selalu dilibatkan</t>
        </r>
      </text>
    </comment>
    <comment ref="AD59" authorId="0" shapeId="0">
      <text>
        <r>
          <rPr>
            <b/>
            <sz val="9"/>
            <color indexed="81"/>
            <rFont val="Tahoma"/>
            <family val="2"/>
          </rPr>
          <t>Andi:</t>
        </r>
        <r>
          <rPr>
            <sz val="9"/>
            <color indexed="81"/>
            <rFont val="Tahoma"/>
            <family val="2"/>
          </rPr>
          <t xml:space="preserve">
% nelayan mengelola sampah plastik secara mandiri kategori jarang (1 - 2 kali dalam tiga bulan)</t>
        </r>
      </text>
    </comment>
    <comment ref="AE59" authorId="0" shapeId="0">
      <text>
        <r>
          <rPr>
            <b/>
            <sz val="9"/>
            <color indexed="81"/>
            <rFont val="Tahoma"/>
            <family val="2"/>
          </rPr>
          <t>Andi:</t>
        </r>
        <r>
          <rPr>
            <sz val="9"/>
            <color indexed="81"/>
            <rFont val="Tahoma"/>
            <family val="2"/>
          </rPr>
          <t xml:space="preserve">
% pengelolaan sampah secara mandiri dilakukan atas anjuran organisasi / LSM  / pemerintah daerah</t>
        </r>
      </text>
    </comment>
    <comment ref="D60" authorId="0" shapeId="0">
      <text>
        <r>
          <rPr>
            <b/>
            <sz val="9"/>
            <color indexed="81"/>
            <rFont val="Tahoma"/>
            <family val="2"/>
          </rPr>
          <t>Andi:</t>
        </r>
        <r>
          <rPr>
            <sz val="9"/>
            <color indexed="81"/>
            <rFont val="Tahoma"/>
            <family val="2"/>
          </rPr>
          <t xml:space="preserve">
% umur nelayan 40 - 50 tahun</t>
        </r>
      </text>
    </comment>
    <comment ref="F60" authorId="0" shapeId="0">
      <text>
        <r>
          <rPr>
            <b/>
            <sz val="9"/>
            <color indexed="81"/>
            <rFont val="Tahoma"/>
            <family val="2"/>
          </rPr>
          <t>Andi:</t>
        </r>
        <r>
          <rPr>
            <sz val="9"/>
            <color indexed="81"/>
            <rFont val="Tahoma"/>
            <family val="2"/>
          </rPr>
          <t xml:space="preserve">
% tamatan SMP atau sederajat</t>
        </r>
      </text>
    </comment>
    <comment ref="G60" authorId="0" shapeId="0">
      <text>
        <r>
          <rPr>
            <b/>
            <sz val="9"/>
            <color indexed="81"/>
            <rFont val="Tahoma"/>
            <family val="2"/>
          </rPr>
          <t>Andi:</t>
        </r>
        <r>
          <rPr>
            <sz val="9"/>
            <color indexed="81"/>
            <rFont val="Tahoma"/>
            <family val="2"/>
          </rPr>
          <t xml:space="preserve">
% pengalaman sebagai nelayan &gt; 5 tahun</t>
        </r>
      </text>
    </comment>
    <comment ref="H60" authorId="0" shapeId="0">
      <text>
        <r>
          <rPr>
            <b/>
            <sz val="9"/>
            <color indexed="81"/>
            <rFont val="Tahoma"/>
            <family val="2"/>
          </rPr>
          <t>Andi:</t>
        </r>
        <r>
          <rPr>
            <sz val="9"/>
            <color indexed="81"/>
            <rFont val="Tahoma"/>
            <family val="2"/>
          </rPr>
          <t xml:space="preserve">
% nelayan yang memiliki tanggungan 3 - 5 orang</t>
        </r>
      </text>
    </comment>
    <comment ref="I60" authorId="0" shapeId="0">
      <text>
        <r>
          <rPr>
            <b/>
            <sz val="9"/>
            <color indexed="81"/>
            <rFont val="Tahoma"/>
            <family val="2"/>
          </rPr>
          <t>Andi:</t>
        </r>
        <r>
          <rPr>
            <sz val="9"/>
            <color indexed="81"/>
            <rFont val="Tahoma"/>
            <family val="2"/>
          </rPr>
          <t xml:space="preserve">
% nelayan 5 GT</t>
        </r>
      </text>
    </comment>
    <comment ref="J60" authorId="0" shapeId="0">
      <text>
        <r>
          <rPr>
            <b/>
            <sz val="9"/>
            <color indexed="81"/>
            <rFont val="Tahoma"/>
            <family val="2"/>
          </rPr>
          <t>Andi:</t>
        </r>
        <r>
          <rPr>
            <sz val="9"/>
            <color indexed="81"/>
            <rFont val="Tahoma"/>
            <family val="2"/>
          </rPr>
          <t xml:space="preserve">
% ukuran kapan &gt; 10 meter</t>
        </r>
      </text>
    </comment>
    <comment ref="K60" authorId="0" shapeId="0">
      <text>
        <r>
          <rPr>
            <b/>
            <sz val="9"/>
            <color indexed="81"/>
            <rFont val="Tahoma"/>
            <family val="2"/>
          </rPr>
          <t>Andi:</t>
        </r>
        <r>
          <rPr>
            <sz val="9"/>
            <color indexed="81"/>
            <rFont val="Tahoma"/>
            <family val="2"/>
          </rPr>
          <t xml:space="preserve">
% umur kapal 3 - 5 tahun</t>
        </r>
      </text>
    </comment>
    <comment ref="L60" authorId="0" shapeId="0">
      <text>
        <r>
          <rPr>
            <b/>
            <sz val="9"/>
            <color indexed="81"/>
            <rFont val="Tahoma"/>
            <family val="2"/>
          </rPr>
          <t>Andi:</t>
        </r>
        <r>
          <rPr>
            <sz val="9"/>
            <color indexed="81"/>
            <rFont val="Tahoma"/>
            <family val="2"/>
          </rPr>
          <t xml:space="preserve">
% alat tangkap jaring lingkar</t>
        </r>
      </text>
    </comment>
    <comment ref="T60" authorId="0" shapeId="0">
      <text>
        <r>
          <rPr>
            <b/>
            <sz val="9"/>
            <color indexed="81"/>
            <rFont val="Tahoma"/>
            <family val="2"/>
          </rPr>
          <t>Andi:</t>
        </r>
        <r>
          <rPr>
            <sz val="9"/>
            <color indexed="81"/>
            <rFont val="Tahoma"/>
            <family val="2"/>
          </rPr>
          <t xml:space="preserve">
% banyaknya sampah plastik 2 hari dalam seminggu</t>
        </r>
      </text>
    </comment>
    <comment ref="V60" authorId="0" shapeId="0">
      <text>
        <r>
          <rPr>
            <b/>
            <sz val="9"/>
            <color indexed="81"/>
            <rFont val="Tahoma"/>
            <family val="2"/>
          </rPr>
          <t>Andi:</t>
        </r>
        <r>
          <rPr>
            <sz val="9"/>
            <color indexed="81"/>
            <rFont val="Tahoma"/>
            <family val="2"/>
          </rPr>
          <t xml:space="preserve">
% menurut nelayan  sampah plastik tetap (sama setiap tahunnya)</t>
        </r>
      </text>
    </comment>
    <comment ref="W60" authorId="0" shapeId="0">
      <text>
        <r>
          <rPr>
            <b/>
            <sz val="9"/>
            <color indexed="81"/>
            <rFont val="Tahoma"/>
            <family val="2"/>
          </rPr>
          <t>Andi:</t>
        </r>
        <r>
          <rPr>
            <sz val="9"/>
            <color indexed="81"/>
            <rFont val="Tahoma"/>
            <family val="2"/>
          </rPr>
          <t xml:space="preserve">
% nelayan memperkirakan sampah plastik banyak (&gt; 5 sampah per m2)</t>
        </r>
      </text>
    </comment>
    <comment ref="X60" authorId="0" shapeId="0">
      <text>
        <r>
          <rPr>
            <b/>
            <sz val="9"/>
            <color indexed="81"/>
            <rFont val="Tahoma"/>
            <family val="2"/>
          </rPr>
          <t>Andi:</t>
        </r>
        <r>
          <rPr>
            <sz val="9"/>
            <color indexed="81"/>
            <rFont val="Tahoma"/>
            <family val="2"/>
          </rPr>
          <t xml:space="preserve">
% styrofoam meningkat</t>
        </r>
      </text>
    </comment>
    <comment ref="Y60" authorId="0" shapeId="0">
      <text>
        <r>
          <rPr>
            <b/>
            <sz val="9"/>
            <color indexed="81"/>
            <rFont val="Tahoma"/>
            <family val="2"/>
          </rPr>
          <t>Andi:</t>
        </r>
        <r>
          <rPr>
            <sz val="9"/>
            <color indexed="81"/>
            <rFont val="Tahoma"/>
            <family val="2"/>
          </rPr>
          <t xml:space="preserve">
% styrofoam menurun</t>
        </r>
      </text>
    </comment>
    <comment ref="AA60" authorId="0" shapeId="0">
      <text>
        <r>
          <rPr>
            <b/>
            <sz val="9"/>
            <color indexed="81"/>
            <rFont val="Tahoma"/>
            <family val="2"/>
          </rPr>
          <t>Andi:</t>
        </r>
        <r>
          <rPr>
            <sz val="9"/>
            <color indexed="81"/>
            <rFont val="Tahoma"/>
            <family val="2"/>
          </rPr>
          <t xml:space="preserve">
% program pengelolaan sampah plastik, jarang dilakukan (0 - 2 kali dalam setahun)</t>
        </r>
      </text>
    </comment>
    <comment ref="AB60" authorId="0" shapeId="0">
      <text>
        <r>
          <rPr>
            <b/>
            <sz val="9"/>
            <color indexed="81"/>
            <rFont val="Tahoma"/>
            <family val="2"/>
          </rPr>
          <t>Andi:</t>
        </r>
        <r>
          <rPr>
            <sz val="9"/>
            <color indexed="81"/>
            <rFont val="Tahoma"/>
            <family val="2"/>
          </rPr>
          <t xml:space="preserve">
% dilakukan oleh organisasi masyarakat (komunitas)</t>
        </r>
      </text>
    </comment>
    <comment ref="AC60" authorId="0" shapeId="0">
      <text>
        <r>
          <rPr>
            <b/>
            <sz val="9"/>
            <color indexed="81"/>
            <rFont val="Tahoma"/>
            <family val="2"/>
          </rPr>
          <t>Andi:</t>
        </r>
        <r>
          <rPr>
            <sz val="9"/>
            <color indexed="81"/>
            <rFont val="Tahoma"/>
            <family val="2"/>
          </rPr>
          <t xml:space="preserve">
% masyarakat tidak dilibatkan </t>
        </r>
      </text>
    </comment>
    <comment ref="AD60" authorId="0" shapeId="0">
      <text>
        <r>
          <rPr>
            <b/>
            <sz val="9"/>
            <color indexed="81"/>
            <rFont val="Tahoma"/>
            <family val="2"/>
          </rPr>
          <t>Andi:</t>
        </r>
        <r>
          <rPr>
            <sz val="9"/>
            <color indexed="81"/>
            <rFont val="Tahoma"/>
            <family val="2"/>
          </rPr>
          <t xml:space="preserve">
% nelayan tidak pernah mengelola sampah plastik secara mandiri</t>
        </r>
      </text>
    </comment>
    <comment ref="AE60" authorId="0" shapeId="0">
      <text>
        <r>
          <rPr>
            <b/>
            <sz val="9"/>
            <color indexed="81"/>
            <rFont val="Tahoma"/>
            <family val="2"/>
          </rPr>
          <t>Andi:</t>
        </r>
        <r>
          <rPr>
            <sz val="9"/>
            <color indexed="81"/>
            <rFont val="Tahoma"/>
            <family val="2"/>
          </rPr>
          <t xml:space="preserve">
% pengelolaan sampah secara mandiri dilakukan jika sampah plastik dapat dimanfaatkan</t>
        </r>
      </text>
    </comment>
    <comment ref="D61" authorId="0" shapeId="0">
      <text>
        <r>
          <rPr>
            <b/>
            <sz val="9"/>
            <color indexed="81"/>
            <rFont val="Tahoma"/>
            <family val="2"/>
          </rPr>
          <t>Andi:</t>
        </r>
        <r>
          <rPr>
            <sz val="9"/>
            <color indexed="81"/>
            <rFont val="Tahoma"/>
            <family val="2"/>
          </rPr>
          <t xml:space="preserve">
% umur nelayan &gt; 50 tahun</t>
        </r>
      </text>
    </comment>
    <comment ref="F61" authorId="0" shapeId="0">
      <text>
        <r>
          <rPr>
            <b/>
            <sz val="9"/>
            <color indexed="81"/>
            <rFont val="Tahoma"/>
            <family val="2"/>
          </rPr>
          <t>Andi:</t>
        </r>
        <r>
          <rPr>
            <sz val="9"/>
            <color indexed="81"/>
            <rFont val="Tahoma"/>
            <family val="2"/>
          </rPr>
          <t xml:space="preserve">
% tamatan SMA atau sederajat</t>
        </r>
      </text>
    </comment>
    <comment ref="H61" authorId="0" shapeId="0">
      <text>
        <r>
          <rPr>
            <b/>
            <sz val="9"/>
            <color indexed="81"/>
            <rFont val="Tahoma"/>
            <family val="2"/>
          </rPr>
          <t>Andi:</t>
        </r>
        <r>
          <rPr>
            <sz val="9"/>
            <color indexed="81"/>
            <rFont val="Tahoma"/>
            <family val="2"/>
          </rPr>
          <t xml:space="preserve">
% nelayan yang memiliki tangungan &gt; 5 orang</t>
        </r>
      </text>
    </comment>
    <comment ref="I61" authorId="0" shapeId="0">
      <text>
        <r>
          <rPr>
            <b/>
            <sz val="9"/>
            <color indexed="81"/>
            <rFont val="Tahoma"/>
            <family val="2"/>
          </rPr>
          <t>Andi:</t>
        </r>
        <r>
          <rPr>
            <sz val="9"/>
            <color indexed="81"/>
            <rFont val="Tahoma"/>
            <family val="2"/>
          </rPr>
          <t xml:space="preserve">
% nelayan 7 GT</t>
        </r>
      </text>
    </comment>
    <comment ref="K61" authorId="0" shapeId="0">
      <text>
        <r>
          <rPr>
            <b/>
            <sz val="9"/>
            <color indexed="81"/>
            <rFont val="Tahoma"/>
            <family val="2"/>
          </rPr>
          <t>Andi:</t>
        </r>
        <r>
          <rPr>
            <sz val="9"/>
            <color indexed="81"/>
            <rFont val="Tahoma"/>
            <family val="2"/>
          </rPr>
          <t xml:space="preserve">
% umur kapal &gt; 5 tahun</t>
        </r>
      </text>
    </comment>
    <comment ref="L61" authorId="0" shapeId="0">
      <text>
        <r>
          <rPr>
            <b/>
            <sz val="9"/>
            <color indexed="81"/>
            <rFont val="Tahoma"/>
            <family val="2"/>
          </rPr>
          <t>Andi:</t>
        </r>
        <r>
          <rPr>
            <sz val="9"/>
            <color indexed="81"/>
            <rFont val="Tahoma"/>
            <family val="2"/>
          </rPr>
          <t xml:space="preserve">
% alat tangkap pukat</t>
        </r>
      </text>
    </comment>
    <comment ref="T61" authorId="0" shapeId="0">
      <text>
        <r>
          <rPr>
            <b/>
            <sz val="9"/>
            <color indexed="81"/>
            <rFont val="Tahoma"/>
            <family val="2"/>
          </rPr>
          <t>Andi:</t>
        </r>
        <r>
          <rPr>
            <sz val="9"/>
            <color indexed="81"/>
            <rFont val="Tahoma"/>
            <family val="2"/>
          </rPr>
          <t xml:space="preserve">
% banyaknya sampah plastik 3 hari dalam seminggu</t>
        </r>
      </text>
    </comment>
    <comment ref="X61" authorId="0" shapeId="0">
      <text>
        <r>
          <rPr>
            <b/>
            <sz val="9"/>
            <color indexed="81"/>
            <rFont val="Tahoma"/>
            <family val="2"/>
          </rPr>
          <t>Andi:</t>
        </r>
        <r>
          <rPr>
            <sz val="9"/>
            <color indexed="81"/>
            <rFont val="Tahoma"/>
            <family val="2"/>
          </rPr>
          <t xml:space="preserve">
% peralatan rumah tangga yang terbuat dari plastik meningkat</t>
        </r>
      </text>
    </comment>
    <comment ref="Y61" authorId="0" shapeId="0">
      <text>
        <r>
          <rPr>
            <b/>
            <sz val="9"/>
            <color indexed="81"/>
            <rFont val="Tahoma"/>
            <family val="2"/>
          </rPr>
          <t>Andi:</t>
        </r>
        <r>
          <rPr>
            <sz val="9"/>
            <color indexed="81"/>
            <rFont val="Tahoma"/>
            <family val="2"/>
          </rPr>
          <t xml:space="preserve">
% peralatan rumah tangga yang terbuat dari plastik menurun</t>
        </r>
      </text>
    </comment>
    <comment ref="AB61" authorId="0" shapeId="0">
      <text>
        <r>
          <rPr>
            <b/>
            <sz val="9"/>
            <color indexed="81"/>
            <rFont val="Tahoma"/>
            <family val="2"/>
          </rPr>
          <t>Andi:</t>
        </r>
        <r>
          <rPr>
            <sz val="9"/>
            <color indexed="81"/>
            <rFont val="Tahoma"/>
            <family val="2"/>
          </rPr>
          <t xml:space="preserve">
% dilakukan oleh sekolah atau perguruan tinggi</t>
        </r>
      </text>
    </comment>
    <comment ref="AE61" authorId="0" shapeId="0">
      <text>
        <r>
          <rPr>
            <b/>
            <sz val="9"/>
            <color indexed="81"/>
            <rFont val="Tahoma"/>
            <family val="2"/>
          </rPr>
          <t>Andi:</t>
        </r>
        <r>
          <rPr>
            <sz val="9"/>
            <color indexed="81"/>
            <rFont val="Tahoma"/>
            <family val="2"/>
          </rPr>
          <t xml:space="preserve">
% pengelolaan sampah secara mandiri dilakukan jika sampah plastik dapat menimbulkan dampak ekonomi</t>
        </r>
      </text>
    </comment>
    <comment ref="F62" authorId="0" shapeId="0">
      <text>
        <r>
          <rPr>
            <b/>
            <sz val="9"/>
            <color indexed="81"/>
            <rFont val="Tahoma"/>
            <family val="2"/>
          </rPr>
          <t>Andi:</t>
        </r>
        <r>
          <rPr>
            <sz val="9"/>
            <color indexed="81"/>
            <rFont val="Tahoma"/>
            <family val="2"/>
          </rPr>
          <t xml:space="preserve">
% tamatan sarjana </t>
        </r>
      </text>
    </comment>
    <comment ref="I62" authorId="0" shapeId="0">
      <text>
        <r>
          <rPr>
            <b/>
            <sz val="9"/>
            <color indexed="81"/>
            <rFont val="Tahoma"/>
            <family val="2"/>
          </rPr>
          <t>Andi:</t>
        </r>
        <r>
          <rPr>
            <sz val="9"/>
            <color indexed="81"/>
            <rFont val="Tahoma"/>
            <family val="2"/>
          </rPr>
          <t xml:space="preserve">
% nelayan 10 GT</t>
        </r>
      </text>
    </comment>
    <comment ref="L62" authorId="0" shapeId="0">
      <text>
        <r>
          <rPr>
            <b/>
            <sz val="9"/>
            <color indexed="81"/>
            <rFont val="Tahoma"/>
            <family val="2"/>
          </rPr>
          <t>Andi:</t>
        </r>
        <r>
          <rPr>
            <sz val="9"/>
            <color indexed="81"/>
            <rFont val="Tahoma"/>
            <family val="2"/>
          </rPr>
          <t xml:space="preserve">
% alat tangkap trawl</t>
        </r>
      </text>
    </comment>
    <comment ref="T62" authorId="0" shapeId="0">
      <text>
        <r>
          <rPr>
            <b/>
            <sz val="9"/>
            <color indexed="81"/>
            <rFont val="Tahoma"/>
            <family val="2"/>
          </rPr>
          <t>Andi:</t>
        </r>
        <r>
          <rPr>
            <sz val="9"/>
            <color indexed="81"/>
            <rFont val="Tahoma"/>
            <family val="2"/>
          </rPr>
          <t xml:space="preserve">
% banyaknya sampah plastik 4 hari dalam seminggu</t>
        </r>
      </text>
    </comment>
    <comment ref="X62" authorId="0" shapeId="0">
      <text>
        <r>
          <rPr>
            <b/>
            <sz val="9"/>
            <color indexed="81"/>
            <rFont val="Tahoma"/>
            <family val="2"/>
          </rPr>
          <t>Andi:</t>
        </r>
        <r>
          <rPr>
            <sz val="9"/>
            <color indexed="81"/>
            <rFont val="Tahoma"/>
            <family val="2"/>
          </rPr>
          <t xml:space="preserve">
% jaring tangkap ikan nelayan yang sudah tidak terpakai meningkat</t>
        </r>
      </text>
    </comment>
    <comment ref="Y62" authorId="0" shapeId="0">
      <text>
        <r>
          <rPr>
            <b/>
            <sz val="9"/>
            <color indexed="81"/>
            <rFont val="Tahoma"/>
            <family val="2"/>
          </rPr>
          <t>Andi:</t>
        </r>
        <r>
          <rPr>
            <sz val="9"/>
            <color indexed="81"/>
            <rFont val="Tahoma"/>
            <family val="2"/>
          </rPr>
          <t xml:space="preserve">
% jaring tangkap ikan nelayan yang sudah tidak terpakai menurun</t>
        </r>
      </text>
    </comment>
    <comment ref="AB62" authorId="0" shapeId="0">
      <text>
        <r>
          <rPr>
            <b/>
            <sz val="9"/>
            <color indexed="81"/>
            <rFont val="Tahoma"/>
            <family val="2"/>
          </rPr>
          <t>Andi:</t>
        </r>
        <r>
          <rPr>
            <sz val="9"/>
            <color indexed="81"/>
            <rFont val="Tahoma"/>
            <family val="2"/>
          </rPr>
          <t xml:space="preserve">
% dilakukan oleh kementerian atau lembaga (pemerintah pusat)</t>
        </r>
      </text>
    </comment>
    <comment ref="L63" authorId="0" shapeId="0">
      <text>
        <r>
          <rPr>
            <b/>
            <sz val="9"/>
            <color indexed="81"/>
            <rFont val="Tahoma"/>
            <family val="2"/>
          </rPr>
          <t>Andi:</t>
        </r>
        <r>
          <rPr>
            <sz val="9"/>
            <color indexed="81"/>
            <rFont val="Tahoma"/>
            <family val="2"/>
          </rPr>
          <t xml:space="preserve">
% alat tangkap payang</t>
        </r>
      </text>
    </comment>
    <comment ref="T63" authorId="0" shapeId="0">
      <text>
        <r>
          <rPr>
            <b/>
            <sz val="9"/>
            <color indexed="81"/>
            <rFont val="Tahoma"/>
            <family val="2"/>
          </rPr>
          <t>Andi:</t>
        </r>
        <r>
          <rPr>
            <sz val="9"/>
            <color indexed="81"/>
            <rFont val="Tahoma"/>
            <family val="2"/>
          </rPr>
          <t xml:space="preserve">
% banyaknya sampah plastik 5 hari dalam seminggu</t>
        </r>
      </text>
    </comment>
    <comment ref="X63" authorId="0" shapeId="0">
      <text>
        <r>
          <rPr>
            <b/>
            <sz val="9"/>
            <color indexed="81"/>
            <rFont val="Tahoma"/>
            <family val="2"/>
          </rPr>
          <t>Andi:</t>
        </r>
        <r>
          <rPr>
            <sz val="9"/>
            <color indexed="81"/>
            <rFont val="Tahoma"/>
            <family val="2"/>
          </rPr>
          <t xml:space="preserve">
% Komponen perahu atau kapal yang terbuat dari plastik meningkat</t>
        </r>
      </text>
    </comment>
    <comment ref="Y63" authorId="0" shapeId="0">
      <text>
        <r>
          <rPr>
            <b/>
            <sz val="9"/>
            <color indexed="81"/>
            <rFont val="Tahoma"/>
            <family val="2"/>
          </rPr>
          <t>Andi:</t>
        </r>
        <r>
          <rPr>
            <sz val="9"/>
            <color indexed="81"/>
            <rFont val="Tahoma"/>
            <family val="2"/>
          </rPr>
          <t xml:space="preserve">
% komponen perahu/kapal yan terbuat dari plastik menurun</t>
        </r>
      </text>
    </comment>
    <comment ref="L64" authorId="0" shapeId="0">
      <text>
        <r>
          <rPr>
            <b/>
            <sz val="9"/>
            <color indexed="81"/>
            <rFont val="Tahoma"/>
            <family val="2"/>
          </rPr>
          <t>Andi:</t>
        </r>
        <r>
          <rPr>
            <sz val="9"/>
            <color indexed="81"/>
            <rFont val="Tahoma"/>
            <family val="2"/>
          </rPr>
          <t xml:space="preserve">
% alat tangkap jaring insang hanyut</t>
        </r>
      </text>
    </comment>
    <comment ref="T64" authorId="0" shapeId="0">
      <text>
        <r>
          <rPr>
            <b/>
            <sz val="9"/>
            <color indexed="81"/>
            <rFont val="Tahoma"/>
            <family val="2"/>
          </rPr>
          <t>Andi:</t>
        </r>
        <r>
          <rPr>
            <sz val="9"/>
            <color indexed="81"/>
            <rFont val="Tahoma"/>
            <family val="2"/>
          </rPr>
          <t xml:space="preserve">
% banyaknya sampah plastik 6 hari dalam seminggu</t>
        </r>
      </text>
    </comment>
    <comment ref="L65" authorId="0" shapeId="0">
      <text>
        <r>
          <rPr>
            <b/>
            <sz val="9"/>
            <color indexed="81"/>
            <rFont val="Tahoma"/>
            <family val="2"/>
          </rPr>
          <t>Andi:</t>
        </r>
        <r>
          <rPr>
            <sz val="9"/>
            <color indexed="81"/>
            <rFont val="Tahoma"/>
            <family val="2"/>
          </rPr>
          <t xml:space="preserve">
% alat tangkap rawai</t>
        </r>
      </text>
    </comment>
    <comment ref="T65" authorId="0" shapeId="0">
      <text>
        <r>
          <rPr>
            <b/>
            <sz val="9"/>
            <color indexed="81"/>
            <rFont val="Tahoma"/>
            <family val="2"/>
          </rPr>
          <t>Andi:</t>
        </r>
        <r>
          <rPr>
            <sz val="9"/>
            <color indexed="81"/>
            <rFont val="Tahoma"/>
            <family val="2"/>
          </rPr>
          <t xml:space="preserve">
% banyaknya sampah plastik 7 hari dalam seminggu</t>
        </r>
      </text>
    </comment>
    <comment ref="L66" authorId="0" shapeId="0">
      <text>
        <r>
          <rPr>
            <b/>
            <sz val="9"/>
            <color indexed="81"/>
            <rFont val="Tahoma"/>
            <family val="2"/>
          </rPr>
          <t>Andi:</t>
        </r>
        <r>
          <rPr>
            <sz val="9"/>
            <color indexed="81"/>
            <rFont val="Tahoma"/>
            <family val="2"/>
          </rPr>
          <t xml:space="preserve">
% alat tangkap pukat cincin</t>
        </r>
      </text>
    </comment>
    <comment ref="L67" authorId="0" shapeId="0">
      <text>
        <r>
          <rPr>
            <b/>
            <sz val="9"/>
            <color indexed="81"/>
            <rFont val="Tahoma"/>
            <family val="2"/>
          </rPr>
          <t>Andi:</t>
        </r>
        <r>
          <rPr>
            <sz val="9"/>
            <color indexed="81"/>
            <rFont val="Tahoma"/>
            <family val="2"/>
          </rPr>
          <t xml:space="preserve">
% alat tangkap pukat bubu</t>
        </r>
      </text>
    </comment>
  </commentList>
</comments>
</file>

<file path=xl/comments2.xml><?xml version="1.0" encoding="utf-8"?>
<comments xmlns="http://schemas.openxmlformats.org/spreadsheetml/2006/main">
  <authors>
    <author>Andi</author>
  </authors>
  <commentList>
    <comment ref="K3" authorId="0" shapeId="0">
      <text>
        <r>
          <rPr>
            <b/>
            <sz val="9"/>
            <color indexed="81"/>
            <rFont val="Tahoma"/>
            <family val="2"/>
          </rPr>
          <t>Andi:</t>
        </r>
        <r>
          <rPr>
            <sz val="9"/>
            <color indexed="81"/>
            <rFont val="Tahoma"/>
            <family val="2"/>
          </rPr>
          <t xml:space="preserve">
Jika nelayan memutuskan tidak merubah jalur atau mencari alternatif DPI maka nelayan akan berpeluang terkena dampak sampah plastik. Maka biaya dihitung dari peluang gangguan dikali biaya solar + biaya logistik</t>
        </r>
      </text>
    </comment>
    <comment ref="AH4" authorId="0" shapeId="0">
      <text>
        <r>
          <rPr>
            <b/>
            <sz val="9"/>
            <color indexed="81"/>
            <rFont val="Tahoma"/>
            <family val="2"/>
          </rPr>
          <t>Andi:</t>
        </r>
        <r>
          <rPr>
            <sz val="9"/>
            <color indexed="81"/>
            <rFont val="Tahoma"/>
            <family val="2"/>
          </rPr>
          <t xml:space="preserve">
1. Plastik kemasan
2. Botol plastik
3. Styrofoam
4. Peralatan rumah tangga yang terbuat dari plastik
5. Jaring tangkap ikan yang sudah tidak terpakai 
6. Badan perahu atau kapal yang terbuat dari plastik</t>
        </r>
      </text>
    </comment>
    <comment ref="AP4" authorId="0" shapeId="0">
      <text>
        <r>
          <rPr>
            <b/>
            <sz val="9"/>
            <color indexed="81"/>
            <rFont val="Tahoma"/>
            <family val="2"/>
          </rPr>
          <t>Andi:</t>
        </r>
        <r>
          <rPr>
            <sz val="9"/>
            <color indexed="81"/>
            <rFont val="Tahoma"/>
            <family val="2"/>
          </rPr>
          <t xml:space="preserve">
1. Plastik kemasan
2. Botol plastik
3. Styrofoam
4. Peralatan rumah tangga yang terbuat dari plastik
5. Jaring tangkap ikan yang sudah tidak terpakai 
6. Komponen perahu atau kapal yang terbuat dari plastik</t>
        </r>
      </text>
    </comment>
    <comment ref="AY4" authorId="0" shapeId="0">
      <text>
        <r>
          <rPr>
            <b/>
            <sz val="9"/>
            <color indexed="81"/>
            <rFont val="Tahoma"/>
            <family val="2"/>
          </rPr>
          <t>Andi:</t>
        </r>
        <r>
          <rPr>
            <sz val="9"/>
            <color indexed="81"/>
            <rFont val="Tahoma"/>
            <family val="2"/>
          </rPr>
          <t xml:space="preserve">
1. Plastik kemasan
2. Botol plastik
3. Styrofoam
4. Peralatan rumah tangga yang terbuat dari plastik
5. Jaring tangkap ikan yang sudah tidak terpakai 
6. Badan perahu atau kapal yang terbuat dari plastik</t>
        </r>
      </text>
    </comment>
    <comment ref="D18" authorId="0" shapeId="0">
      <text>
        <r>
          <rPr>
            <b/>
            <sz val="9"/>
            <color indexed="81"/>
            <rFont val="Tahoma"/>
            <family val="2"/>
          </rPr>
          <t>Andi:</t>
        </r>
        <r>
          <rPr>
            <sz val="9"/>
            <color indexed="81"/>
            <rFont val="Tahoma"/>
            <family val="2"/>
          </rPr>
          <t xml:space="preserve">
% nelayan yang setiap 2 kali trip melaut mengalami 1 kali gangguan</t>
        </r>
      </text>
    </comment>
    <comment ref="K18" authorId="0" shapeId="0">
      <text>
        <r>
          <rPr>
            <b/>
            <sz val="9"/>
            <color indexed="81"/>
            <rFont val="Tahoma"/>
            <family val="2"/>
          </rPr>
          <t>Andi:</t>
        </r>
        <r>
          <rPr>
            <sz val="9"/>
            <color indexed="81"/>
            <rFont val="Tahoma"/>
            <family val="2"/>
          </rPr>
          <t xml:space="preserve">
% nelayan yang memutuskan merubah jalur untuk menuju DPI karena sampah plastik laut</t>
        </r>
      </text>
    </comment>
    <comment ref="AA18" authorId="0" shapeId="0">
      <text>
        <r>
          <rPr>
            <b/>
            <sz val="9"/>
            <color indexed="81"/>
            <rFont val="Tahoma"/>
            <family val="2"/>
          </rPr>
          <t>Andi:</t>
        </r>
        <r>
          <rPr>
            <sz val="9"/>
            <color indexed="81"/>
            <rFont val="Tahoma"/>
            <family val="2"/>
          </rPr>
          <t xml:space="preserve">
% nelayan yang mengalami gangguan pada propeller</t>
        </r>
      </text>
    </comment>
    <comment ref="AC18" authorId="0" shapeId="0">
      <text>
        <r>
          <rPr>
            <b/>
            <sz val="9"/>
            <color indexed="81"/>
            <rFont val="Tahoma"/>
            <family val="2"/>
          </rPr>
          <t>Andi:</t>
        </r>
        <r>
          <rPr>
            <sz val="9"/>
            <color indexed="81"/>
            <rFont val="Tahoma"/>
            <family val="2"/>
          </rPr>
          <t xml:space="preserve">
% nelayan yang setiap 2 kali trip melaut mengalami 1 kali gangguan pada propeller</t>
        </r>
      </text>
    </comment>
    <comment ref="AG18" authorId="0" shapeId="0">
      <text>
        <r>
          <rPr>
            <b/>
            <sz val="9"/>
            <color indexed="81"/>
            <rFont val="Tahoma"/>
            <family val="2"/>
          </rPr>
          <t>Andi:</t>
        </r>
        <r>
          <rPr>
            <sz val="9"/>
            <color indexed="81"/>
            <rFont val="Tahoma"/>
            <family val="2"/>
          </rPr>
          <t xml:space="preserve">
% gangguan propeller karena patah</t>
        </r>
      </text>
    </comment>
    <comment ref="AH18" authorId="0" shapeId="0">
      <text>
        <r>
          <rPr>
            <b/>
            <sz val="9"/>
            <color indexed="81"/>
            <rFont val="Tahoma"/>
            <family val="2"/>
          </rPr>
          <t>Andi:</t>
        </r>
        <r>
          <rPr>
            <sz val="9"/>
            <color indexed="81"/>
            <rFont val="Tahoma"/>
            <family val="2"/>
          </rPr>
          <t xml:space="preserve">
% sampah plastik berupa plastik kemasan (1) yang mengganggu propeller kapal</t>
        </r>
      </text>
    </comment>
    <comment ref="AI18" authorId="0" shapeId="0">
      <text>
        <r>
          <rPr>
            <b/>
            <sz val="9"/>
            <color indexed="81"/>
            <rFont val="Tahoma"/>
            <family val="2"/>
          </rPr>
          <t>Andi:</t>
        </r>
        <r>
          <rPr>
            <sz val="9"/>
            <color indexed="81"/>
            <rFont val="Tahoma"/>
            <family val="2"/>
          </rPr>
          <t xml:space="preserve">
% nelayan yang tidak mengalami gangguan sistem pendingin</t>
        </r>
      </text>
    </comment>
    <comment ref="AK18" authorId="0" shapeId="0">
      <text>
        <r>
          <rPr>
            <b/>
            <sz val="9"/>
            <color indexed="81"/>
            <rFont val="Tahoma"/>
            <family val="2"/>
          </rPr>
          <t>Andi:</t>
        </r>
        <r>
          <rPr>
            <sz val="9"/>
            <color indexed="81"/>
            <rFont val="Tahoma"/>
            <family val="2"/>
          </rPr>
          <t xml:space="preserve">
% nelayan yang setiap 5 kali trip melaut mengalami 1 kali gangguan sistem pendingin</t>
        </r>
      </text>
    </comment>
    <comment ref="AO18" authorId="0" shapeId="0">
      <text>
        <r>
          <rPr>
            <b/>
            <sz val="9"/>
            <color indexed="81"/>
            <rFont val="Tahoma"/>
            <family val="2"/>
          </rPr>
          <t>Andi:</t>
        </r>
        <r>
          <rPr>
            <sz val="9"/>
            <color indexed="81"/>
            <rFont val="Tahoma"/>
            <family val="2"/>
          </rPr>
          <t xml:space="preserve">
% jenis gangguan berupa terumbatnya sistem pendingin</t>
        </r>
      </text>
    </comment>
    <comment ref="AP18" authorId="0" shapeId="0">
      <text>
        <r>
          <rPr>
            <b/>
            <sz val="9"/>
            <color indexed="81"/>
            <rFont val="Tahoma"/>
            <family val="2"/>
          </rPr>
          <t>Andi:</t>
        </r>
        <r>
          <rPr>
            <sz val="9"/>
            <color indexed="81"/>
            <rFont val="Tahoma"/>
            <family val="2"/>
          </rPr>
          <t xml:space="preserve">
% gangguan sistem pendingin disebabkan  oleh plastik kemasan (1)</t>
        </r>
      </text>
    </comment>
    <comment ref="AQ18" authorId="0" shapeId="0">
      <text>
        <r>
          <rPr>
            <b/>
            <sz val="9"/>
            <color indexed="81"/>
            <rFont val="Tahoma"/>
            <family val="2"/>
          </rPr>
          <t>Andi:</t>
        </r>
        <r>
          <rPr>
            <sz val="9"/>
            <color indexed="81"/>
            <rFont val="Tahoma"/>
            <family val="2"/>
          </rPr>
          <t xml:space="preserve">
% nelayan mengalami gangguan pada alat tangkap akibat sampah plastik laut</t>
        </r>
      </text>
    </comment>
    <comment ref="AS18" authorId="0" shapeId="0">
      <text>
        <r>
          <rPr>
            <b/>
            <sz val="9"/>
            <color indexed="81"/>
            <rFont val="Tahoma"/>
            <family val="2"/>
          </rPr>
          <t>Andi:</t>
        </r>
        <r>
          <rPr>
            <sz val="9"/>
            <color indexed="81"/>
            <rFont val="Tahoma"/>
            <family val="2"/>
          </rPr>
          <t xml:space="preserve">
% nelayan yang setiap 2 kali trip melaut mengalami 1 kali gangguan pada alat tangkap</t>
        </r>
      </text>
    </comment>
    <comment ref="AU18" authorId="0" shapeId="0">
      <text>
        <r>
          <rPr>
            <b/>
            <sz val="9"/>
            <color indexed="81"/>
            <rFont val="Tahoma"/>
            <family val="2"/>
          </rPr>
          <t>Andi:</t>
        </r>
        <r>
          <rPr>
            <sz val="9"/>
            <color indexed="81"/>
            <rFont val="Tahoma"/>
            <family val="2"/>
          </rPr>
          <t xml:space="preserve">
% gangguan komponen alat tangkap terjadi pada jaring</t>
        </r>
      </text>
    </comment>
    <comment ref="AX18" authorId="0" shapeId="0">
      <text>
        <r>
          <rPr>
            <b/>
            <sz val="9"/>
            <color indexed="81"/>
            <rFont val="Tahoma"/>
            <family val="2"/>
          </rPr>
          <t>Andi:</t>
        </r>
        <r>
          <rPr>
            <sz val="9"/>
            <color indexed="81"/>
            <rFont val="Tahoma"/>
            <family val="2"/>
          </rPr>
          <t xml:space="preserve">
% gangguan pada jaring tangkap adalah karena tersangkut sehingga robek</t>
        </r>
      </text>
    </comment>
    <comment ref="AY18" authorId="0" shapeId="0">
      <text>
        <r>
          <rPr>
            <b/>
            <sz val="9"/>
            <color indexed="81"/>
            <rFont val="Tahoma"/>
            <family val="2"/>
          </rPr>
          <t>Andi:</t>
        </r>
        <r>
          <rPr>
            <sz val="9"/>
            <color indexed="81"/>
            <rFont val="Tahoma"/>
            <family val="2"/>
          </rPr>
          <t xml:space="preserve">
% jenis sampah plastik yang mengganggu alat tangkap nelayan yaitu plastik kemasan (1)</t>
        </r>
      </text>
    </comment>
    <comment ref="D19" authorId="0" shapeId="0">
      <text>
        <r>
          <rPr>
            <b/>
            <sz val="9"/>
            <color indexed="81"/>
            <rFont val="Tahoma"/>
            <family val="2"/>
          </rPr>
          <t>Andi:</t>
        </r>
        <r>
          <rPr>
            <sz val="9"/>
            <color indexed="81"/>
            <rFont val="Tahoma"/>
            <family val="2"/>
          </rPr>
          <t xml:space="preserve">
% nelayan yang setiap 3 kali trip melaut mengalami 1 kali gangguan</t>
        </r>
      </text>
    </comment>
    <comment ref="K19" authorId="0" shapeId="0">
      <text>
        <r>
          <rPr>
            <b/>
            <sz val="9"/>
            <color indexed="81"/>
            <rFont val="Tahoma"/>
            <family val="2"/>
          </rPr>
          <t>Andi:</t>
        </r>
        <r>
          <rPr>
            <sz val="9"/>
            <color indexed="81"/>
            <rFont val="Tahoma"/>
            <family val="2"/>
          </rPr>
          <t xml:space="preserve">
% nelayan yang memutuskan mencari alternatif DPI  karena sampah plastik laut</t>
        </r>
      </text>
    </comment>
    <comment ref="AC19" authorId="0" shapeId="0">
      <text>
        <r>
          <rPr>
            <b/>
            <sz val="9"/>
            <color indexed="81"/>
            <rFont val="Tahoma"/>
            <family val="2"/>
          </rPr>
          <t>Andi:</t>
        </r>
        <r>
          <rPr>
            <sz val="9"/>
            <color indexed="81"/>
            <rFont val="Tahoma"/>
            <family val="2"/>
          </rPr>
          <t xml:space="preserve">
% nelayan yang setiap 3 kali trip melaut mengalami 1 kali gangguan pada propeller</t>
        </r>
      </text>
    </comment>
    <comment ref="AH19" authorId="0" shapeId="0">
      <text>
        <r>
          <rPr>
            <b/>
            <sz val="9"/>
            <color indexed="81"/>
            <rFont val="Tahoma"/>
            <family val="2"/>
          </rPr>
          <t>Andi:</t>
        </r>
        <r>
          <rPr>
            <sz val="9"/>
            <color indexed="81"/>
            <rFont val="Tahoma"/>
            <family val="2"/>
          </rPr>
          <t xml:space="preserve">
% sampah plastik berupa botol plastik (2) yang mengganggu propeller kapal</t>
        </r>
      </text>
    </comment>
    <comment ref="AI19" authorId="0" shapeId="0">
      <text>
        <r>
          <rPr>
            <b/>
            <sz val="9"/>
            <color indexed="81"/>
            <rFont val="Tahoma"/>
            <family val="2"/>
          </rPr>
          <t>Andi:</t>
        </r>
        <r>
          <rPr>
            <sz val="9"/>
            <color indexed="81"/>
            <rFont val="Tahoma"/>
            <family val="2"/>
          </rPr>
          <t xml:space="preserve">
% nelayan yang mengalami gangguan sistem pendingin</t>
        </r>
      </text>
    </comment>
    <comment ref="AK19" authorId="0" shapeId="0">
      <text>
        <r>
          <rPr>
            <b/>
            <sz val="9"/>
            <color indexed="81"/>
            <rFont val="Tahoma"/>
            <family val="2"/>
          </rPr>
          <t>Andi:</t>
        </r>
        <r>
          <rPr>
            <sz val="9"/>
            <color indexed="81"/>
            <rFont val="Tahoma"/>
            <family val="2"/>
          </rPr>
          <t xml:space="preserve">
% nelayan yang setiap 6 kali trip melaut mengalami 1 kali gangguan sistem pendingin</t>
        </r>
      </text>
    </comment>
    <comment ref="AP19" authorId="0" shapeId="0">
      <text>
        <r>
          <rPr>
            <b/>
            <sz val="9"/>
            <color indexed="81"/>
            <rFont val="Tahoma"/>
            <family val="2"/>
          </rPr>
          <t>Andi:</t>
        </r>
        <r>
          <rPr>
            <sz val="9"/>
            <color indexed="81"/>
            <rFont val="Tahoma"/>
            <family val="2"/>
          </rPr>
          <t xml:space="preserve">
% gangguan sistem pendingin disebabkan  oleh botol plastik (2)</t>
        </r>
      </text>
    </comment>
    <comment ref="AS19" authorId="0" shapeId="0">
      <text>
        <r>
          <rPr>
            <b/>
            <sz val="9"/>
            <color indexed="81"/>
            <rFont val="Tahoma"/>
            <family val="2"/>
          </rPr>
          <t>Andi:</t>
        </r>
        <r>
          <rPr>
            <sz val="9"/>
            <color indexed="81"/>
            <rFont val="Tahoma"/>
            <family val="2"/>
          </rPr>
          <t xml:space="preserve">
% nelayan yang setiap 3 kali trip melaut mengalami 1 kali gangguan pada alat tangkap</t>
        </r>
      </text>
    </comment>
    <comment ref="AY19" authorId="0" shapeId="0">
      <text>
        <r>
          <rPr>
            <b/>
            <sz val="9"/>
            <color indexed="81"/>
            <rFont val="Tahoma"/>
            <family val="2"/>
          </rPr>
          <t>Andi:</t>
        </r>
        <r>
          <rPr>
            <sz val="9"/>
            <color indexed="81"/>
            <rFont val="Tahoma"/>
            <family val="2"/>
          </rPr>
          <t xml:space="preserve">
% jenis sampah plastik yang mengganggu alat tangkap nelayan yaitu botol plastik (2)</t>
        </r>
      </text>
    </comment>
    <comment ref="D20" authorId="0" shapeId="0">
      <text>
        <r>
          <rPr>
            <b/>
            <sz val="9"/>
            <color indexed="81"/>
            <rFont val="Tahoma"/>
            <family val="2"/>
          </rPr>
          <t>Andi:</t>
        </r>
        <r>
          <rPr>
            <sz val="9"/>
            <color indexed="81"/>
            <rFont val="Tahoma"/>
            <family val="2"/>
          </rPr>
          <t xml:space="preserve">
% nelayan yang setiap 4 kali trip melaut mengalami 1 kali gangguan</t>
        </r>
      </text>
    </comment>
    <comment ref="AH20" authorId="0" shapeId="0">
      <text>
        <r>
          <rPr>
            <b/>
            <sz val="9"/>
            <color indexed="81"/>
            <rFont val="Tahoma"/>
            <family val="2"/>
          </rPr>
          <t>Andi:</t>
        </r>
        <r>
          <rPr>
            <sz val="9"/>
            <color indexed="81"/>
            <rFont val="Tahoma"/>
            <family val="2"/>
          </rPr>
          <t xml:space="preserve">
% sampah plastik berupa styrofoam (3) yang mengganggu propeller kapal</t>
        </r>
      </text>
    </comment>
    <comment ref="AK20" authorId="0" shapeId="0">
      <text>
        <r>
          <rPr>
            <b/>
            <sz val="9"/>
            <color indexed="81"/>
            <rFont val="Tahoma"/>
            <family val="2"/>
          </rPr>
          <t>Andi:</t>
        </r>
        <r>
          <rPr>
            <sz val="9"/>
            <color indexed="81"/>
            <rFont val="Tahoma"/>
            <family val="2"/>
          </rPr>
          <t xml:space="preserve">
% nelayan yang setiap 7 kali trip melaut mengalami 1 kali gangguan sistem pendingin</t>
        </r>
      </text>
    </comment>
    <comment ref="AP20" authorId="0" shapeId="0">
      <text>
        <r>
          <rPr>
            <b/>
            <sz val="9"/>
            <color indexed="81"/>
            <rFont val="Tahoma"/>
            <family val="2"/>
          </rPr>
          <t>Andi:</t>
        </r>
        <r>
          <rPr>
            <sz val="9"/>
            <color indexed="81"/>
            <rFont val="Tahoma"/>
            <family val="2"/>
          </rPr>
          <t xml:space="preserve">
% gangguan sistem pendingin disebabkan  oleh styrofoam (3)</t>
        </r>
      </text>
    </comment>
    <comment ref="AS20" authorId="0" shapeId="0">
      <text>
        <r>
          <rPr>
            <b/>
            <sz val="9"/>
            <color indexed="81"/>
            <rFont val="Tahoma"/>
            <family val="2"/>
          </rPr>
          <t>Andi:</t>
        </r>
        <r>
          <rPr>
            <sz val="9"/>
            <color indexed="81"/>
            <rFont val="Tahoma"/>
            <family val="2"/>
          </rPr>
          <t xml:space="preserve">
% nelayan yang setiap 4 kali trip melaut mengalami 1 kali gangguan pada alat tangkap</t>
        </r>
      </text>
    </comment>
    <comment ref="AY20" authorId="0" shapeId="0">
      <text>
        <r>
          <rPr>
            <b/>
            <sz val="9"/>
            <color indexed="81"/>
            <rFont val="Tahoma"/>
            <family val="2"/>
          </rPr>
          <t>Andi:</t>
        </r>
        <r>
          <rPr>
            <sz val="9"/>
            <color indexed="81"/>
            <rFont val="Tahoma"/>
            <family val="2"/>
          </rPr>
          <t xml:space="preserve">
% jenis sampah plastik yang mengganggu alat tangkap nelayan yaitu styrofoam (3)</t>
        </r>
      </text>
    </comment>
    <comment ref="AH21" authorId="0" shapeId="0">
      <text>
        <r>
          <rPr>
            <b/>
            <sz val="9"/>
            <color indexed="81"/>
            <rFont val="Tahoma"/>
            <family val="2"/>
          </rPr>
          <t>Andi:</t>
        </r>
        <r>
          <rPr>
            <sz val="9"/>
            <color indexed="81"/>
            <rFont val="Tahoma"/>
            <family val="2"/>
          </rPr>
          <t xml:space="preserve">
% sampah plastik berupa  peralatan rumah tangga yang terbuat dari plastik (4) yang mengganggu propeller kapal</t>
        </r>
      </text>
    </comment>
    <comment ref="AP21" authorId="0" shapeId="0">
      <text>
        <r>
          <rPr>
            <b/>
            <sz val="9"/>
            <color indexed="81"/>
            <rFont val="Tahoma"/>
            <family val="2"/>
          </rPr>
          <t>Andi:</t>
        </r>
        <r>
          <rPr>
            <sz val="9"/>
            <color indexed="81"/>
            <rFont val="Tahoma"/>
            <family val="2"/>
          </rPr>
          <t xml:space="preserve">
% gangguan sistem pendingin disebabkan  oleh peralatan rumah tangga yang terbuat dari plastik (4)</t>
        </r>
      </text>
    </comment>
    <comment ref="AY21" authorId="0" shapeId="0">
      <text>
        <r>
          <rPr>
            <b/>
            <sz val="9"/>
            <color indexed="81"/>
            <rFont val="Tahoma"/>
            <family val="2"/>
          </rPr>
          <t>Andi:</t>
        </r>
        <r>
          <rPr>
            <sz val="9"/>
            <color indexed="81"/>
            <rFont val="Tahoma"/>
            <family val="2"/>
          </rPr>
          <t xml:space="preserve">
% jenis sampah plastik yang mengganggu alat tangkap nelayan yaitu peralatan rumah tangga yang terbuat dari plastik (4)</t>
        </r>
      </text>
    </comment>
    <comment ref="AH22" authorId="0" shapeId="0">
      <text>
        <r>
          <rPr>
            <b/>
            <sz val="9"/>
            <color indexed="81"/>
            <rFont val="Tahoma"/>
            <charset val="1"/>
          </rPr>
          <t>Andi:</t>
        </r>
        <r>
          <rPr>
            <sz val="9"/>
            <color indexed="81"/>
            <rFont val="Tahoma"/>
            <charset val="1"/>
          </rPr>
          <t xml:space="preserve">
% sampah plastik berupa  jaring tangkap ikan yang sudah tidak terpakai (5) yang mengganggu propeller kapal</t>
        </r>
      </text>
    </comment>
    <comment ref="AP22" authorId="0" shapeId="0">
      <text>
        <r>
          <rPr>
            <b/>
            <sz val="9"/>
            <color indexed="81"/>
            <rFont val="Tahoma"/>
            <family val="2"/>
          </rPr>
          <t>Andi:</t>
        </r>
        <r>
          <rPr>
            <sz val="9"/>
            <color indexed="81"/>
            <rFont val="Tahoma"/>
            <family val="2"/>
          </rPr>
          <t xml:space="preserve">
% gangguan sistem pendingin disebabkan  oleh jaring tangkap ikan yang sudah tidak terpakai (5)</t>
        </r>
      </text>
    </comment>
    <comment ref="AY22" authorId="0" shapeId="0">
      <text>
        <r>
          <rPr>
            <b/>
            <sz val="9"/>
            <color indexed="81"/>
            <rFont val="Tahoma"/>
            <family val="2"/>
          </rPr>
          <t>Andi:</t>
        </r>
        <r>
          <rPr>
            <sz val="9"/>
            <color indexed="81"/>
            <rFont val="Tahoma"/>
            <family val="2"/>
          </rPr>
          <t xml:space="preserve">
% jenis sampah plastik yang mengganggu alat tangkap nelayan yaitu jaring tangkap ikan nelayan yang sudah tidak terpakai (5)</t>
        </r>
      </text>
    </comment>
    <comment ref="AH23" authorId="0" shapeId="0">
      <text>
        <r>
          <rPr>
            <b/>
            <sz val="9"/>
            <color indexed="81"/>
            <rFont val="Tahoma"/>
            <charset val="1"/>
          </rPr>
          <t>Andi:</t>
        </r>
        <r>
          <rPr>
            <sz val="9"/>
            <color indexed="81"/>
            <rFont val="Tahoma"/>
            <charset val="1"/>
          </rPr>
          <t xml:space="preserve">
% sampah plastik berupa  komponen perahu atau kapal yang terbuat dari plastik (5) yang mengganggu propeller kapal</t>
        </r>
      </text>
    </comment>
    <comment ref="AP23" authorId="0" shapeId="0">
      <text>
        <r>
          <rPr>
            <b/>
            <sz val="9"/>
            <color indexed="81"/>
            <rFont val="Tahoma"/>
            <family val="2"/>
          </rPr>
          <t>Andi:</t>
        </r>
        <r>
          <rPr>
            <sz val="9"/>
            <color indexed="81"/>
            <rFont val="Tahoma"/>
            <family val="2"/>
          </rPr>
          <t xml:space="preserve">
% gangguan sistem pendingin disebabkan  oleh komponen perahy atau kapal yang terbuat dari plastik</t>
        </r>
      </text>
    </comment>
    <comment ref="AY23" authorId="0" shapeId="0">
      <text>
        <r>
          <rPr>
            <b/>
            <sz val="9"/>
            <color indexed="81"/>
            <rFont val="Tahoma"/>
            <family val="2"/>
          </rPr>
          <t>Andi:</t>
        </r>
        <r>
          <rPr>
            <sz val="9"/>
            <color indexed="81"/>
            <rFont val="Tahoma"/>
            <family val="2"/>
          </rPr>
          <t xml:space="preserve">
% jenis sampah plastik yang mengganggu alat tangkap nelayan yaitu komponen  perahu atau kapal yang terbuat dari plastik.</t>
        </r>
      </text>
    </comment>
    <comment ref="D38" authorId="0" shapeId="0">
      <text>
        <r>
          <rPr>
            <b/>
            <sz val="9"/>
            <color indexed="81"/>
            <rFont val="Tahoma"/>
            <family val="2"/>
          </rPr>
          <t>Andi:</t>
        </r>
        <r>
          <rPr>
            <sz val="9"/>
            <color indexed="81"/>
            <rFont val="Tahoma"/>
            <family val="2"/>
          </rPr>
          <t xml:space="preserve">
% nelayan yang setiap 2 kali trip melaut mengalami 1 kali gangguan</t>
        </r>
      </text>
    </comment>
    <comment ref="K38" authorId="0" shapeId="0">
      <text>
        <r>
          <rPr>
            <b/>
            <sz val="9"/>
            <color indexed="81"/>
            <rFont val="Tahoma"/>
            <family val="2"/>
          </rPr>
          <t>Andi:</t>
        </r>
        <r>
          <rPr>
            <sz val="9"/>
            <color indexed="81"/>
            <rFont val="Tahoma"/>
            <family val="2"/>
          </rPr>
          <t xml:space="preserve">
% nelayan yang memutuskan merubah jalur untuk menuju DPI karena sampah plastik laut</t>
        </r>
      </text>
    </comment>
    <comment ref="AA38" authorId="0" shapeId="0">
      <text>
        <r>
          <rPr>
            <b/>
            <sz val="9"/>
            <color indexed="81"/>
            <rFont val="Tahoma"/>
            <family val="2"/>
          </rPr>
          <t>Andi:</t>
        </r>
        <r>
          <rPr>
            <sz val="9"/>
            <color indexed="81"/>
            <rFont val="Tahoma"/>
            <family val="2"/>
          </rPr>
          <t xml:space="preserve">
% nelayan yang mengalami gangguan pada propeller</t>
        </r>
      </text>
    </comment>
    <comment ref="AC38" authorId="0" shapeId="0">
      <text>
        <r>
          <rPr>
            <b/>
            <sz val="9"/>
            <color indexed="81"/>
            <rFont val="Tahoma"/>
            <family val="2"/>
          </rPr>
          <t>Andi:</t>
        </r>
        <r>
          <rPr>
            <sz val="9"/>
            <color indexed="81"/>
            <rFont val="Tahoma"/>
            <family val="2"/>
          </rPr>
          <t xml:space="preserve">
% nelayan yang setiap 2 kali trip melaut mengalami 1 kali gangguan pada propeller</t>
        </r>
      </text>
    </comment>
    <comment ref="AG38" authorId="0" shapeId="0">
      <text>
        <r>
          <rPr>
            <b/>
            <sz val="9"/>
            <color indexed="81"/>
            <rFont val="Tahoma"/>
            <family val="2"/>
          </rPr>
          <t>Andi:</t>
        </r>
        <r>
          <rPr>
            <sz val="9"/>
            <color indexed="81"/>
            <rFont val="Tahoma"/>
            <family val="2"/>
          </rPr>
          <t xml:space="preserve">
% gangguan propeller karena patah</t>
        </r>
      </text>
    </comment>
    <comment ref="AH38" authorId="0" shapeId="0">
      <text>
        <r>
          <rPr>
            <b/>
            <sz val="9"/>
            <color indexed="81"/>
            <rFont val="Tahoma"/>
            <family val="2"/>
          </rPr>
          <t>Andi:</t>
        </r>
        <r>
          <rPr>
            <sz val="9"/>
            <color indexed="81"/>
            <rFont val="Tahoma"/>
            <family val="2"/>
          </rPr>
          <t xml:space="preserve">
% sampah plastik berupa plastik kemasan (1) yang mengganggu propeller kapal</t>
        </r>
      </text>
    </comment>
    <comment ref="AI38" authorId="0" shapeId="0">
      <text>
        <r>
          <rPr>
            <b/>
            <sz val="9"/>
            <color indexed="81"/>
            <rFont val="Tahoma"/>
            <family val="2"/>
          </rPr>
          <t>Andi:</t>
        </r>
        <r>
          <rPr>
            <sz val="9"/>
            <color indexed="81"/>
            <rFont val="Tahoma"/>
            <family val="2"/>
          </rPr>
          <t xml:space="preserve">
% nelayan yang mengalami gangguan pada sistem pendingin</t>
        </r>
      </text>
    </comment>
    <comment ref="AK38" authorId="0" shapeId="0">
      <text>
        <r>
          <rPr>
            <b/>
            <sz val="9"/>
            <color indexed="81"/>
            <rFont val="Tahoma"/>
            <family val="2"/>
          </rPr>
          <t>Andi:</t>
        </r>
        <r>
          <rPr>
            <sz val="9"/>
            <color indexed="81"/>
            <rFont val="Tahoma"/>
            <family val="2"/>
          </rPr>
          <t xml:space="preserve">
% nelayan yang setiap 2 kali trip melaut mengalami 1 kali gangguan sistem pendingin</t>
        </r>
      </text>
    </comment>
    <comment ref="AO38" authorId="0" shapeId="0">
      <text>
        <r>
          <rPr>
            <b/>
            <sz val="9"/>
            <color indexed="81"/>
            <rFont val="Tahoma"/>
            <family val="2"/>
          </rPr>
          <t>Andi:</t>
        </r>
        <r>
          <rPr>
            <sz val="9"/>
            <color indexed="81"/>
            <rFont val="Tahoma"/>
            <family val="2"/>
          </rPr>
          <t xml:space="preserve">
% jenis gangguan berupa terumbatnya sistem pendingin</t>
        </r>
      </text>
    </comment>
    <comment ref="AP38" authorId="0" shapeId="0">
      <text>
        <r>
          <rPr>
            <b/>
            <sz val="9"/>
            <color indexed="81"/>
            <rFont val="Tahoma"/>
            <family val="2"/>
          </rPr>
          <t>Andi:</t>
        </r>
        <r>
          <rPr>
            <sz val="9"/>
            <color indexed="81"/>
            <rFont val="Tahoma"/>
            <family val="2"/>
          </rPr>
          <t xml:space="preserve">
% gangguan sistem pendingin disebabkan  oleh plastik kemasan (1)</t>
        </r>
      </text>
    </comment>
    <comment ref="AQ38" authorId="0" shapeId="0">
      <text>
        <r>
          <rPr>
            <b/>
            <sz val="9"/>
            <color indexed="81"/>
            <rFont val="Tahoma"/>
            <family val="2"/>
          </rPr>
          <t>Andi:</t>
        </r>
        <r>
          <rPr>
            <sz val="9"/>
            <color indexed="81"/>
            <rFont val="Tahoma"/>
            <family val="2"/>
          </rPr>
          <t xml:space="preserve">
% nelayan mengalami gangguan pada alat tangkap akibat sampah plastik laut</t>
        </r>
      </text>
    </comment>
    <comment ref="AS38" authorId="0" shapeId="0">
      <text>
        <r>
          <rPr>
            <b/>
            <sz val="9"/>
            <color indexed="81"/>
            <rFont val="Tahoma"/>
            <family val="2"/>
          </rPr>
          <t>Andi:</t>
        </r>
        <r>
          <rPr>
            <sz val="9"/>
            <color indexed="81"/>
            <rFont val="Tahoma"/>
            <family val="2"/>
          </rPr>
          <t xml:space="preserve">
% nelayan yang setiap 2 kali trip melaut mengalami 1 kali gangguan pada alat tangkap</t>
        </r>
      </text>
    </comment>
    <comment ref="AU38" authorId="0" shapeId="0">
      <text>
        <r>
          <rPr>
            <b/>
            <sz val="9"/>
            <color indexed="81"/>
            <rFont val="Tahoma"/>
            <family val="2"/>
          </rPr>
          <t>Andi:</t>
        </r>
        <r>
          <rPr>
            <sz val="9"/>
            <color indexed="81"/>
            <rFont val="Tahoma"/>
            <family val="2"/>
          </rPr>
          <t xml:space="preserve">
% gangguan komponen alat tangkap terjadi pada jaring</t>
        </r>
      </text>
    </comment>
    <comment ref="AX38" authorId="0" shapeId="0">
      <text>
        <r>
          <rPr>
            <b/>
            <sz val="9"/>
            <color indexed="81"/>
            <rFont val="Tahoma"/>
            <family val="2"/>
          </rPr>
          <t>Andi:</t>
        </r>
        <r>
          <rPr>
            <sz val="9"/>
            <color indexed="81"/>
            <rFont val="Tahoma"/>
            <family val="2"/>
          </rPr>
          <t xml:space="preserve">
% gangguan pada jaring tangkap adalah karena tersangkut sehingga robek</t>
        </r>
      </text>
    </comment>
    <comment ref="AY38" authorId="0" shapeId="0">
      <text>
        <r>
          <rPr>
            <b/>
            <sz val="9"/>
            <color indexed="81"/>
            <rFont val="Tahoma"/>
            <family val="2"/>
          </rPr>
          <t>Andi:</t>
        </r>
        <r>
          <rPr>
            <sz val="9"/>
            <color indexed="81"/>
            <rFont val="Tahoma"/>
            <family val="2"/>
          </rPr>
          <t xml:space="preserve">
% jenis sampah plastik yang mengganggu alat tangkap nelayan yaitu plastik kemasan (1)</t>
        </r>
      </text>
    </comment>
    <comment ref="D39" authorId="0" shapeId="0">
      <text>
        <r>
          <rPr>
            <b/>
            <sz val="9"/>
            <color indexed="81"/>
            <rFont val="Tahoma"/>
            <family val="2"/>
          </rPr>
          <t>Andi:</t>
        </r>
        <r>
          <rPr>
            <sz val="9"/>
            <color indexed="81"/>
            <rFont val="Tahoma"/>
            <family val="2"/>
          </rPr>
          <t xml:space="preserve">
% nelayan yang setiap 3 kali trip melaut mengalami 1 kali gangguan</t>
        </r>
      </text>
    </comment>
    <comment ref="K39" authorId="0" shapeId="0">
      <text>
        <r>
          <rPr>
            <b/>
            <sz val="9"/>
            <color indexed="81"/>
            <rFont val="Tahoma"/>
            <family val="2"/>
          </rPr>
          <t>Andi:</t>
        </r>
        <r>
          <rPr>
            <sz val="9"/>
            <color indexed="81"/>
            <rFont val="Tahoma"/>
            <family val="2"/>
          </rPr>
          <t xml:space="preserve">
% nelayan yang memutuskan mencari alternatif DPI  karena sampah plastik laut</t>
        </r>
      </text>
    </comment>
    <comment ref="AC39" authorId="0" shapeId="0">
      <text>
        <r>
          <rPr>
            <b/>
            <sz val="9"/>
            <color indexed="81"/>
            <rFont val="Tahoma"/>
            <family val="2"/>
          </rPr>
          <t>Andi:</t>
        </r>
        <r>
          <rPr>
            <sz val="9"/>
            <color indexed="81"/>
            <rFont val="Tahoma"/>
            <family val="2"/>
          </rPr>
          <t xml:space="preserve">
% nelayan yang setiap 3 kali trip melaut mengalami 1 kali gangguan pada propeller</t>
        </r>
      </text>
    </comment>
    <comment ref="AH39" authorId="0" shapeId="0">
      <text>
        <r>
          <rPr>
            <b/>
            <sz val="9"/>
            <color indexed="81"/>
            <rFont val="Tahoma"/>
            <family val="2"/>
          </rPr>
          <t>Andi:</t>
        </r>
        <r>
          <rPr>
            <sz val="9"/>
            <color indexed="81"/>
            <rFont val="Tahoma"/>
            <family val="2"/>
          </rPr>
          <t xml:space="preserve">
% sampah plastik berupa botol plastik (2) yang mengganggu propeller kapal</t>
        </r>
      </text>
    </comment>
    <comment ref="AK39" authorId="0" shapeId="0">
      <text>
        <r>
          <rPr>
            <b/>
            <sz val="9"/>
            <color indexed="81"/>
            <rFont val="Tahoma"/>
            <family val="2"/>
          </rPr>
          <t>Andi:</t>
        </r>
        <r>
          <rPr>
            <sz val="9"/>
            <color indexed="81"/>
            <rFont val="Tahoma"/>
            <family val="2"/>
          </rPr>
          <t xml:space="preserve">
% nelayan yang setiap 3 kali trip melaut mengalami 1 kali gangguan sistem pendingin</t>
        </r>
      </text>
    </comment>
    <comment ref="AP39" authorId="0" shapeId="0">
      <text>
        <r>
          <rPr>
            <b/>
            <sz val="9"/>
            <color indexed="81"/>
            <rFont val="Tahoma"/>
            <family val="2"/>
          </rPr>
          <t>Andi:</t>
        </r>
        <r>
          <rPr>
            <sz val="9"/>
            <color indexed="81"/>
            <rFont val="Tahoma"/>
            <family val="2"/>
          </rPr>
          <t xml:space="preserve">
% gangguan sistem pendingin disebabkan  oleh styrofoam (2)</t>
        </r>
      </text>
    </comment>
    <comment ref="AS39" authorId="0" shapeId="0">
      <text>
        <r>
          <rPr>
            <b/>
            <sz val="9"/>
            <color indexed="81"/>
            <rFont val="Tahoma"/>
            <family val="2"/>
          </rPr>
          <t>Andi:</t>
        </r>
        <r>
          <rPr>
            <sz val="9"/>
            <color indexed="81"/>
            <rFont val="Tahoma"/>
            <family val="2"/>
          </rPr>
          <t xml:space="preserve">
% nelayan yang setiap 3 kali trip melaut mengalami 1 kali gangguan pada alat tangkap</t>
        </r>
      </text>
    </comment>
    <comment ref="AY39" authorId="0" shapeId="0">
      <text>
        <r>
          <rPr>
            <b/>
            <sz val="9"/>
            <color indexed="81"/>
            <rFont val="Tahoma"/>
            <family val="2"/>
          </rPr>
          <t>Andi:</t>
        </r>
        <r>
          <rPr>
            <sz val="9"/>
            <color indexed="81"/>
            <rFont val="Tahoma"/>
            <family val="2"/>
          </rPr>
          <t xml:space="preserve">
% jenis sampah plastik yang mengganggu alat tangkap nelayan yaitu botol plastik (2)</t>
        </r>
      </text>
    </comment>
    <comment ref="D40" authorId="0" shapeId="0">
      <text>
        <r>
          <rPr>
            <b/>
            <sz val="9"/>
            <color indexed="81"/>
            <rFont val="Tahoma"/>
            <family val="2"/>
          </rPr>
          <t>Andi:</t>
        </r>
        <r>
          <rPr>
            <sz val="9"/>
            <color indexed="81"/>
            <rFont val="Tahoma"/>
            <family val="2"/>
          </rPr>
          <t xml:space="preserve">
% nelayan yang setiap 4 kali trip melaut mengalami 1 kali gangguan</t>
        </r>
      </text>
    </comment>
    <comment ref="AC40" authorId="0" shapeId="0">
      <text>
        <r>
          <rPr>
            <b/>
            <sz val="9"/>
            <color indexed="81"/>
            <rFont val="Tahoma"/>
            <family val="2"/>
          </rPr>
          <t>Andi:</t>
        </r>
        <r>
          <rPr>
            <sz val="9"/>
            <color indexed="81"/>
            <rFont val="Tahoma"/>
            <family val="2"/>
          </rPr>
          <t xml:space="preserve">
% nelayan yang setiap 4 kali trip melaut mengalami 1 kali gangguan pada propeller</t>
        </r>
      </text>
    </comment>
    <comment ref="AH40" authorId="0" shapeId="0">
      <text>
        <r>
          <rPr>
            <b/>
            <sz val="9"/>
            <color indexed="81"/>
            <rFont val="Tahoma"/>
            <family val="2"/>
          </rPr>
          <t>Andi:</t>
        </r>
        <r>
          <rPr>
            <sz val="9"/>
            <color indexed="81"/>
            <rFont val="Tahoma"/>
            <family val="2"/>
          </rPr>
          <t xml:space="preserve">
% sampah plastik berupa  styrofoam (3) yang mengganggu propeller kapal</t>
        </r>
      </text>
    </comment>
    <comment ref="AK40" authorId="0" shapeId="0">
      <text>
        <r>
          <rPr>
            <b/>
            <sz val="9"/>
            <color indexed="81"/>
            <rFont val="Tahoma"/>
            <family val="2"/>
          </rPr>
          <t>Andi:</t>
        </r>
        <r>
          <rPr>
            <sz val="9"/>
            <color indexed="81"/>
            <rFont val="Tahoma"/>
            <family val="2"/>
          </rPr>
          <t xml:space="preserve">
% nelayan yang setiap 4 kali trip melaut mengalami 1 kali gangguan sistem pendingin</t>
        </r>
      </text>
    </comment>
    <comment ref="AP40" authorId="0" shapeId="0">
      <text>
        <r>
          <rPr>
            <b/>
            <sz val="9"/>
            <color indexed="81"/>
            <rFont val="Tahoma"/>
            <family val="2"/>
          </rPr>
          <t>Andi:</t>
        </r>
        <r>
          <rPr>
            <sz val="9"/>
            <color indexed="81"/>
            <rFont val="Tahoma"/>
            <family val="2"/>
          </rPr>
          <t xml:space="preserve">
% gangguan sistem pendingin disebabkan  oleh styrofoam</t>
        </r>
      </text>
    </comment>
    <comment ref="AS40" authorId="0" shapeId="0">
      <text>
        <r>
          <rPr>
            <b/>
            <sz val="9"/>
            <color indexed="81"/>
            <rFont val="Tahoma"/>
            <family val="2"/>
          </rPr>
          <t>Andi:</t>
        </r>
        <r>
          <rPr>
            <sz val="9"/>
            <color indexed="81"/>
            <rFont val="Tahoma"/>
            <family val="2"/>
          </rPr>
          <t xml:space="preserve">
% nelayan yang setiap 4 kali trip melaut mengalami 1 kali gangguan pada alat tangkap</t>
        </r>
      </text>
    </comment>
    <comment ref="AY40" authorId="0" shapeId="0">
      <text>
        <r>
          <rPr>
            <b/>
            <sz val="9"/>
            <color indexed="81"/>
            <rFont val="Tahoma"/>
            <family val="2"/>
          </rPr>
          <t>Andi:</t>
        </r>
        <r>
          <rPr>
            <sz val="9"/>
            <color indexed="81"/>
            <rFont val="Tahoma"/>
            <family val="2"/>
          </rPr>
          <t xml:space="preserve">
% jenis sampah plastik yang mengganggu alat tangkap nelayan yaitu styrofoam (3)</t>
        </r>
      </text>
    </comment>
    <comment ref="AC41" authorId="0" shapeId="0">
      <text>
        <r>
          <rPr>
            <b/>
            <sz val="9"/>
            <color indexed="81"/>
            <rFont val="Tahoma"/>
            <family val="2"/>
          </rPr>
          <t>Andi:</t>
        </r>
        <r>
          <rPr>
            <sz val="9"/>
            <color indexed="81"/>
            <rFont val="Tahoma"/>
            <family val="2"/>
          </rPr>
          <t xml:space="preserve">
% nelayan yang setiap 5 kali trip melaut mengalami 1 kali gangguan pada propeller</t>
        </r>
      </text>
    </comment>
    <comment ref="AH41" authorId="0" shapeId="0">
      <text>
        <r>
          <rPr>
            <b/>
            <sz val="9"/>
            <color indexed="81"/>
            <rFont val="Tahoma"/>
            <family val="2"/>
          </rPr>
          <t>Andi:</t>
        </r>
        <r>
          <rPr>
            <sz val="9"/>
            <color indexed="81"/>
            <rFont val="Tahoma"/>
            <family val="2"/>
          </rPr>
          <t xml:space="preserve">
% sampah plastik berupa peralatan rumah tangga yang terbuat dari plastik (4) yang mengganggu propeller kapal</t>
        </r>
      </text>
    </comment>
    <comment ref="AP41" authorId="0" shapeId="0">
      <text>
        <r>
          <rPr>
            <b/>
            <sz val="9"/>
            <color indexed="81"/>
            <rFont val="Tahoma"/>
            <family val="2"/>
          </rPr>
          <t>Andi:</t>
        </r>
        <r>
          <rPr>
            <sz val="9"/>
            <color indexed="81"/>
            <rFont val="Tahoma"/>
            <family val="2"/>
          </rPr>
          <t xml:space="preserve">
% gangguan sistem pendingin disebabkan  oleh peralatan rumah tangga yang terbuat dari plastik (4)</t>
        </r>
      </text>
    </comment>
    <comment ref="AY41" authorId="0" shapeId="0">
      <text>
        <r>
          <rPr>
            <b/>
            <sz val="9"/>
            <color indexed="81"/>
            <rFont val="Tahoma"/>
            <family val="2"/>
          </rPr>
          <t>Andi:</t>
        </r>
        <r>
          <rPr>
            <sz val="9"/>
            <color indexed="81"/>
            <rFont val="Tahoma"/>
            <family val="2"/>
          </rPr>
          <t xml:space="preserve">
% jenis sampah plastik yang mengganggu alat tangkap nelayan yaitu peralatan rumah tangga yang terbuat dari plastik (4)</t>
        </r>
      </text>
    </comment>
    <comment ref="AH42" authorId="0" shapeId="0">
      <text>
        <r>
          <rPr>
            <b/>
            <sz val="9"/>
            <color indexed="81"/>
            <rFont val="Tahoma"/>
            <family val="2"/>
          </rPr>
          <t>Andi:</t>
        </r>
        <r>
          <rPr>
            <sz val="9"/>
            <color indexed="81"/>
            <rFont val="Tahoma"/>
            <family val="2"/>
          </rPr>
          <t xml:space="preserve">
% sampah plastik berupa jaring tangkap ikan yang sudah tidak terpakai (5) yang mengganggu propeller kapal</t>
        </r>
      </text>
    </comment>
    <comment ref="AP42" authorId="0" shapeId="0">
      <text>
        <r>
          <rPr>
            <b/>
            <sz val="9"/>
            <color indexed="81"/>
            <rFont val="Tahoma"/>
            <charset val="1"/>
          </rPr>
          <t>Andi:</t>
        </r>
        <r>
          <rPr>
            <sz val="9"/>
            <color indexed="81"/>
            <rFont val="Tahoma"/>
            <charset val="1"/>
          </rPr>
          <t xml:space="preserve">
% gangguan sistem pendingin disebabkan  oleh jaring tangkap ikan yang sudah tidak terpakai (5)</t>
        </r>
      </text>
    </comment>
    <comment ref="AY42" authorId="0" shapeId="0">
      <text>
        <r>
          <rPr>
            <b/>
            <sz val="9"/>
            <color indexed="81"/>
            <rFont val="Tahoma"/>
            <charset val="1"/>
          </rPr>
          <t>Andi:</t>
        </r>
        <r>
          <rPr>
            <sz val="9"/>
            <color indexed="81"/>
            <rFont val="Tahoma"/>
            <charset val="1"/>
          </rPr>
          <t xml:space="preserve">
% gangguan sistem pendingin disebabkan  oleh jaring tangkap ikan yang sudah tidak terpakai (5)</t>
        </r>
      </text>
    </comment>
    <comment ref="AH43" authorId="0" shapeId="0">
      <text>
        <r>
          <rPr>
            <b/>
            <sz val="9"/>
            <color indexed="81"/>
            <rFont val="Tahoma"/>
            <family val="2"/>
          </rPr>
          <t>Andi:</t>
        </r>
        <r>
          <rPr>
            <sz val="9"/>
            <color indexed="81"/>
            <rFont val="Tahoma"/>
            <family val="2"/>
          </rPr>
          <t xml:space="preserve">
% sampah plastik berupa komponen perahu atau kapal yang terbuat dari plastik (6) yang mengganggu propeller kapal</t>
        </r>
      </text>
    </comment>
    <comment ref="AP43" authorId="0" shapeId="0">
      <text>
        <r>
          <rPr>
            <b/>
            <sz val="9"/>
            <color indexed="81"/>
            <rFont val="Tahoma"/>
            <charset val="1"/>
          </rPr>
          <t>Andi:</t>
        </r>
        <r>
          <rPr>
            <sz val="9"/>
            <color indexed="81"/>
            <rFont val="Tahoma"/>
            <charset val="1"/>
          </rPr>
          <t xml:space="preserve">
% gangguan sistem pendingin disebabkan  oleh komponen perahu atau kapal yang terbuat dari plastik</t>
        </r>
      </text>
    </comment>
    <comment ref="AY43" authorId="0" shapeId="0">
      <text>
        <r>
          <rPr>
            <b/>
            <sz val="9"/>
            <color indexed="81"/>
            <rFont val="Tahoma"/>
            <charset val="1"/>
          </rPr>
          <t>Andi:</t>
        </r>
        <r>
          <rPr>
            <sz val="9"/>
            <color indexed="81"/>
            <rFont val="Tahoma"/>
            <charset val="1"/>
          </rPr>
          <t xml:space="preserve">
% gangguan sistem pendingin disebabkan  oleh komponen perahu atau kapal yang terbuat dari plastik</t>
        </r>
      </text>
    </comment>
    <comment ref="AH58" authorId="0" shapeId="0">
      <text>
        <r>
          <rPr>
            <b/>
            <sz val="9"/>
            <color indexed="81"/>
            <rFont val="Tahoma"/>
            <family val="2"/>
          </rPr>
          <t>Andi:</t>
        </r>
        <r>
          <rPr>
            <sz val="9"/>
            <color indexed="81"/>
            <rFont val="Tahoma"/>
            <family val="2"/>
          </rPr>
          <t xml:space="preserve">
% sampah plastik berupa plastik kemasan (1) yang mengganggu propeller kapal</t>
        </r>
      </text>
    </comment>
    <comment ref="AH59" authorId="0" shapeId="0">
      <text>
        <r>
          <rPr>
            <b/>
            <sz val="9"/>
            <color indexed="81"/>
            <rFont val="Tahoma"/>
            <family val="2"/>
          </rPr>
          <t>Andi:</t>
        </r>
        <r>
          <rPr>
            <sz val="9"/>
            <color indexed="81"/>
            <rFont val="Tahoma"/>
            <family val="2"/>
          </rPr>
          <t xml:space="preserve">
% sampah plastik berupa botol plastik (2) yang mengganggu propeller kapal</t>
        </r>
      </text>
    </comment>
    <comment ref="AH60" authorId="0" shapeId="0">
      <text>
        <r>
          <rPr>
            <b/>
            <sz val="9"/>
            <color indexed="81"/>
            <rFont val="Tahoma"/>
            <family val="2"/>
          </rPr>
          <t>Andi:</t>
        </r>
        <r>
          <rPr>
            <sz val="9"/>
            <color indexed="81"/>
            <rFont val="Tahoma"/>
            <family val="2"/>
          </rPr>
          <t xml:space="preserve">
% sampah plastik berupa  styrofoam (3) yang mengganggu propeller kapal</t>
        </r>
      </text>
    </comment>
    <comment ref="AH61" authorId="0" shapeId="0">
      <text>
        <r>
          <rPr>
            <b/>
            <sz val="9"/>
            <color indexed="81"/>
            <rFont val="Tahoma"/>
            <family val="2"/>
          </rPr>
          <t>Andi:</t>
        </r>
        <r>
          <rPr>
            <sz val="9"/>
            <color indexed="81"/>
            <rFont val="Tahoma"/>
            <family val="2"/>
          </rPr>
          <t xml:space="preserve">
% sampah plastik berupa peralatan rumah tangga yang terbuat dari plastik (4) yang mengganggu propeller kapal</t>
        </r>
      </text>
    </comment>
    <comment ref="AH62" authorId="0" shapeId="0">
      <text>
        <r>
          <rPr>
            <b/>
            <sz val="9"/>
            <color indexed="81"/>
            <rFont val="Tahoma"/>
            <family val="2"/>
          </rPr>
          <t>Andi:</t>
        </r>
        <r>
          <rPr>
            <sz val="9"/>
            <color indexed="81"/>
            <rFont val="Tahoma"/>
            <family val="2"/>
          </rPr>
          <t xml:space="preserve">
% sampah plastik berupa jaring tangkap ikan yang sudah tidak terpakai (5) yang mengganggu propeller kapal</t>
        </r>
      </text>
    </comment>
    <comment ref="AH63" authorId="0" shapeId="0">
      <text>
        <r>
          <rPr>
            <b/>
            <sz val="9"/>
            <color indexed="81"/>
            <rFont val="Tahoma"/>
            <family val="2"/>
          </rPr>
          <t>Andi:</t>
        </r>
        <r>
          <rPr>
            <sz val="9"/>
            <color indexed="81"/>
            <rFont val="Tahoma"/>
            <family val="2"/>
          </rPr>
          <t xml:space="preserve">
% sampah plastik berupa komponen perahu atau kapal yang terbuat dari plastik (6) yang mengganggu propeller kapal</t>
        </r>
      </text>
    </comment>
    <comment ref="D78" authorId="0" shapeId="0">
      <text>
        <r>
          <rPr>
            <b/>
            <sz val="9"/>
            <color indexed="81"/>
            <rFont val="Tahoma"/>
            <family val="2"/>
          </rPr>
          <t>Andi:</t>
        </r>
        <r>
          <rPr>
            <sz val="9"/>
            <color indexed="81"/>
            <rFont val="Tahoma"/>
            <family val="2"/>
          </rPr>
          <t xml:space="preserve">
% nelayan yang setiap 4 kali trip melaut mengalami 1 kali gangguan</t>
        </r>
      </text>
    </comment>
    <comment ref="K78" authorId="0" shapeId="0">
      <text>
        <r>
          <rPr>
            <b/>
            <sz val="9"/>
            <color indexed="81"/>
            <rFont val="Tahoma"/>
            <family val="2"/>
          </rPr>
          <t>Andi:</t>
        </r>
        <r>
          <rPr>
            <sz val="9"/>
            <color indexed="81"/>
            <rFont val="Tahoma"/>
            <family val="2"/>
          </rPr>
          <t xml:space="preserve">
% nelayan yang memutuskan merubah jalur untuk menuju DPI karena sampah plastik laut</t>
        </r>
      </text>
    </comment>
    <comment ref="AA78" authorId="0" shapeId="0">
      <text>
        <r>
          <rPr>
            <b/>
            <sz val="9"/>
            <color indexed="81"/>
            <rFont val="Tahoma"/>
            <family val="2"/>
          </rPr>
          <t>Andi:</t>
        </r>
        <r>
          <rPr>
            <sz val="9"/>
            <color indexed="81"/>
            <rFont val="Tahoma"/>
            <family val="2"/>
          </rPr>
          <t xml:space="preserve">
% nelayan yang mengalami gangguan pada propeller</t>
        </r>
      </text>
    </comment>
    <comment ref="AC78" authorId="0" shapeId="0">
      <text>
        <r>
          <rPr>
            <b/>
            <sz val="9"/>
            <color indexed="81"/>
            <rFont val="Tahoma"/>
            <family val="2"/>
          </rPr>
          <t>Andi:</t>
        </r>
        <r>
          <rPr>
            <sz val="9"/>
            <color indexed="81"/>
            <rFont val="Tahoma"/>
            <family val="2"/>
          </rPr>
          <t xml:space="preserve">
% nelayan yang setiap 3 kali trip melaut mengalami 1 kali gangguan pada propeller</t>
        </r>
      </text>
    </comment>
    <comment ref="AG78" authorId="0" shapeId="0">
      <text>
        <r>
          <rPr>
            <b/>
            <sz val="9"/>
            <color indexed="81"/>
            <rFont val="Tahoma"/>
            <family val="2"/>
          </rPr>
          <t>Andi:</t>
        </r>
        <r>
          <rPr>
            <sz val="9"/>
            <color indexed="81"/>
            <rFont val="Tahoma"/>
            <family val="2"/>
          </rPr>
          <t xml:space="preserve">
% gangguan propeller karena patah</t>
        </r>
      </text>
    </comment>
    <comment ref="AH78" authorId="0" shapeId="0">
      <text>
        <r>
          <rPr>
            <b/>
            <sz val="9"/>
            <color indexed="81"/>
            <rFont val="Tahoma"/>
            <family val="2"/>
          </rPr>
          <t>Andi:</t>
        </r>
        <r>
          <rPr>
            <sz val="9"/>
            <color indexed="81"/>
            <rFont val="Tahoma"/>
            <family val="2"/>
          </rPr>
          <t xml:space="preserve">
% sampah plastik berupa plastik kemasan (1) yang mengganggu propeller kapal</t>
        </r>
      </text>
    </comment>
    <comment ref="AI78" authorId="0" shapeId="0">
      <text>
        <r>
          <rPr>
            <b/>
            <sz val="9"/>
            <color indexed="81"/>
            <rFont val="Tahoma"/>
            <family val="2"/>
          </rPr>
          <t>Andi:</t>
        </r>
        <r>
          <rPr>
            <sz val="9"/>
            <color indexed="81"/>
            <rFont val="Tahoma"/>
            <family val="2"/>
          </rPr>
          <t xml:space="preserve">
% nelayan yang mengalami gangguan pada sistem pendingin</t>
        </r>
      </text>
    </comment>
    <comment ref="AK78" authorId="0" shapeId="0">
      <text>
        <r>
          <rPr>
            <b/>
            <sz val="9"/>
            <color indexed="81"/>
            <rFont val="Tahoma"/>
            <family val="2"/>
          </rPr>
          <t>Andi:</t>
        </r>
        <r>
          <rPr>
            <sz val="9"/>
            <color indexed="81"/>
            <rFont val="Tahoma"/>
            <family val="2"/>
          </rPr>
          <t xml:space="preserve">
% nelayan yang setiap 5 kali trip melaut mengalami 1 kali gangguan sistem pendingin</t>
        </r>
      </text>
    </comment>
    <comment ref="AO78" authorId="0" shapeId="0">
      <text>
        <r>
          <rPr>
            <b/>
            <sz val="9"/>
            <color indexed="81"/>
            <rFont val="Tahoma"/>
            <family val="2"/>
          </rPr>
          <t>Andi:</t>
        </r>
        <r>
          <rPr>
            <sz val="9"/>
            <color indexed="81"/>
            <rFont val="Tahoma"/>
            <family val="2"/>
          </rPr>
          <t xml:space="preserve">
% jenis gangguan berupa terumbatnya sistem pendingin</t>
        </r>
      </text>
    </comment>
    <comment ref="AP78" authorId="0" shapeId="0">
      <text>
        <r>
          <rPr>
            <b/>
            <sz val="9"/>
            <color indexed="81"/>
            <rFont val="Tahoma"/>
            <family val="2"/>
          </rPr>
          <t>Andi:</t>
        </r>
        <r>
          <rPr>
            <sz val="9"/>
            <color indexed="81"/>
            <rFont val="Tahoma"/>
            <family val="2"/>
          </rPr>
          <t xml:space="preserve">
% gangguan sistem pendingin disebabkan  oleh plastik kemasan (1)</t>
        </r>
      </text>
    </comment>
    <comment ref="AQ78" authorId="0" shapeId="0">
      <text>
        <r>
          <rPr>
            <b/>
            <sz val="9"/>
            <color indexed="81"/>
            <rFont val="Tahoma"/>
            <family val="2"/>
          </rPr>
          <t>Andi:</t>
        </r>
        <r>
          <rPr>
            <sz val="9"/>
            <color indexed="81"/>
            <rFont val="Tahoma"/>
            <family val="2"/>
          </rPr>
          <t xml:space="preserve">
% nelayan mengalami gangguan pada alat tangkap akibat sampah plastik laut</t>
        </r>
      </text>
    </comment>
    <comment ref="AS78" authorId="0" shapeId="0">
      <text>
        <r>
          <rPr>
            <b/>
            <sz val="9"/>
            <color indexed="81"/>
            <rFont val="Tahoma"/>
            <family val="2"/>
          </rPr>
          <t>Andi:</t>
        </r>
        <r>
          <rPr>
            <sz val="9"/>
            <color indexed="81"/>
            <rFont val="Tahoma"/>
            <family val="2"/>
          </rPr>
          <t xml:space="preserve">
% nelayan yang setiap 5 kali trip melaut mengalami 1 kali gangguan pada alat tangkap</t>
        </r>
      </text>
    </comment>
    <comment ref="AU78" authorId="0" shapeId="0">
      <text>
        <r>
          <rPr>
            <b/>
            <sz val="9"/>
            <color indexed="81"/>
            <rFont val="Tahoma"/>
            <family val="2"/>
          </rPr>
          <t>Andi:</t>
        </r>
        <r>
          <rPr>
            <sz val="9"/>
            <color indexed="81"/>
            <rFont val="Tahoma"/>
            <family val="2"/>
          </rPr>
          <t xml:space="preserve">
% gangguan komponen alat tangkap terjadi pada jaring</t>
        </r>
      </text>
    </comment>
    <comment ref="AX78" authorId="0" shapeId="0">
      <text>
        <r>
          <rPr>
            <b/>
            <sz val="9"/>
            <color indexed="81"/>
            <rFont val="Tahoma"/>
            <family val="2"/>
          </rPr>
          <t>Andi:</t>
        </r>
        <r>
          <rPr>
            <sz val="9"/>
            <color indexed="81"/>
            <rFont val="Tahoma"/>
            <family val="2"/>
          </rPr>
          <t xml:space="preserve">
% gangguan pada jaring tangkap adalah karena tersangkut sehingga robek</t>
        </r>
      </text>
    </comment>
    <comment ref="AY78" authorId="0" shapeId="0">
      <text>
        <r>
          <rPr>
            <b/>
            <sz val="9"/>
            <color indexed="81"/>
            <rFont val="Tahoma"/>
            <family val="2"/>
          </rPr>
          <t>Andi:</t>
        </r>
        <r>
          <rPr>
            <sz val="9"/>
            <color indexed="81"/>
            <rFont val="Tahoma"/>
            <family val="2"/>
          </rPr>
          <t xml:space="preserve">
% jenis sampah plastik yang mengganggu alat tangkap nelayan yaitu  plastik kemasan (1)</t>
        </r>
      </text>
    </comment>
    <comment ref="D79" authorId="0" shapeId="0">
      <text>
        <r>
          <rPr>
            <b/>
            <sz val="9"/>
            <color indexed="81"/>
            <rFont val="Tahoma"/>
            <family val="2"/>
          </rPr>
          <t>Andi:</t>
        </r>
        <r>
          <rPr>
            <sz val="9"/>
            <color indexed="81"/>
            <rFont val="Tahoma"/>
            <family val="2"/>
          </rPr>
          <t xml:space="preserve">
% nelayan yang setiap 5 kali trip melaut mengalami 1 kali gangguan</t>
        </r>
      </text>
    </comment>
    <comment ref="K79" authorId="0" shapeId="0">
      <text>
        <r>
          <rPr>
            <b/>
            <sz val="9"/>
            <color indexed="81"/>
            <rFont val="Tahoma"/>
            <family val="2"/>
          </rPr>
          <t>Andi:</t>
        </r>
        <r>
          <rPr>
            <sz val="9"/>
            <color indexed="81"/>
            <rFont val="Tahoma"/>
            <family val="2"/>
          </rPr>
          <t xml:space="preserve">
% nelayan yang memutuskan mencari alternatif DPI lainnyaI karena sampah plastik laut</t>
        </r>
      </text>
    </comment>
    <comment ref="AC79" authorId="0" shapeId="0">
      <text>
        <r>
          <rPr>
            <b/>
            <sz val="9"/>
            <color indexed="81"/>
            <rFont val="Tahoma"/>
            <family val="2"/>
          </rPr>
          <t>Andi:</t>
        </r>
        <r>
          <rPr>
            <sz val="9"/>
            <color indexed="81"/>
            <rFont val="Tahoma"/>
            <family val="2"/>
          </rPr>
          <t xml:space="preserve">
% nelayan yang setiap 4 kali trip melaut mengalami 1 kali gangguan pada propeller</t>
        </r>
      </text>
    </comment>
    <comment ref="AH79" authorId="0" shapeId="0">
      <text>
        <r>
          <rPr>
            <b/>
            <sz val="9"/>
            <color indexed="81"/>
            <rFont val="Tahoma"/>
            <family val="2"/>
          </rPr>
          <t>Andi:</t>
        </r>
        <r>
          <rPr>
            <sz val="9"/>
            <color indexed="81"/>
            <rFont val="Tahoma"/>
            <family val="2"/>
          </rPr>
          <t xml:space="preserve">
% sampah plastik berupa botol plastik (2) yang mengganggu propeller kapal</t>
        </r>
      </text>
    </comment>
    <comment ref="AK79" authorId="0" shapeId="0">
      <text>
        <r>
          <rPr>
            <b/>
            <sz val="9"/>
            <color indexed="81"/>
            <rFont val="Tahoma"/>
            <family val="2"/>
          </rPr>
          <t>Andi:</t>
        </r>
        <r>
          <rPr>
            <sz val="9"/>
            <color indexed="81"/>
            <rFont val="Tahoma"/>
            <family val="2"/>
          </rPr>
          <t xml:space="preserve">
% nelayan yang setiap 6 kali trip melaut mengalami 1 kali gangguan sistem pendingin</t>
        </r>
      </text>
    </comment>
    <comment ref="AP79" authorId="0" shapeId="0">
      <text>
        <r>
          <rPr>
            <b/>
            <sz val="9"/>
            <color indexed="81"/>
            <rFont val="Tahoma"/>
            <family val="2"/>
          </rPr>
          <t>Andi:</t>
        </r>
        <r>
          <rPr>
            <sz val="9"/>
            <color indexed="81"/>
            <rFont val="Tahoma"/>
            <family val="2"/>
          </rPr>
          <t xml:space="preserve">
% gangguan sistem pendingin disebabkan  oleh botol plastik (2)</t>
        </r>
      </text>
    </comment>
    <comment ref="AS79" authorId="0" shapeId="0">
      <text>
        <r>
          <rPr>
            <b/>
            <sz val="9"/>
            <color indexed="81"/>
            <rFont val="Tahoma"/>
            <family val="2"/>
          </rPr>
          <t>Andi:</t>
        </r>
        <r>
          <rPr>
            <sz val="9"/>
            <color indexed="81"/>
            <rFont val="Tahoma"/>
            <family val="2"/>
          </rPr>
          <t xml:space="preserve">
% nelayan yang setiap 6kali trip melaut mengalami 1 kali gangguan pada alat tangkap</t>
        </r>
      </text>
    </comment>
    <comment ref="AY79" authorId="0" shapeId="0">
      <text>
        <r>
          <rPr>
            <b/>
            <sz val="9"/>
            <color indexed="81"/>
            <rFont val="Tahoma"/>
            <family val="2"/>
          </rPr>
          <t>Andi:</t>
        </r>
        <r>
          <rPr>
            <sz val="9"/>
            <color indexed="81"/>
            <rFont val="Tahoma"/>
            <family val="2"/>
          </rPr>
          <t xml:space="preserve">
% jenis sampah plastik yang mengganggu alat tangkap nelayan yaitu botol plastik (2)</t>
        </r>
      </text>
    </comment>
    <comment ref="D80" authorId="0" shapeId="0">
      <text>
        <r>
          <rPr>
            <b/>
            <sz val="9"/>
            <color indexed="81"/>
            <rFont val="Tahoma"/>
            <family val="2"/>
          </rPr>
          <t>Andi:</t>
        </r>
        <r>
          <rPr>
            <sz val="9"/>
            <color indexed="81"/>
            <rFont val="Tahoma"/>
            <family val="2"/>
          </rPr>
          <t xml:space="preserve">
% nelayan yang setiap 6 kali trip melaut mengalami 1 kali gangguan</t>
        </r>
      </text>
    </comment>
    <comment ref="AC80" authorId="0" shapeId="0">
      <text>
        <r>
          <rPr>
            <b/>
            <sz val="9"/>
            <color indexed="81"/>
            <rFont val="Tahoma"/>
            <family val="2"/>
          </rPr>
          <t>Andi:</t>
        </r>
        <r>
          <rPr>
            <sz val="9"/>
            <color indexed="81"/>
            <rFont val="Tahoma"/>
            <family val="2"/>
          </rPr>
          <t xml:space="preserve">
% nelayan yang setiap 5 kali trip melaut mengalami 1 kali gangguan pada propeller</t>
        </r>
      </text>
    </comment>
    <comment ref="AH80" authorId="0" shapeId="0">
      <text>
        <r>
          <rPr>
            <b/>
            <sz val="9"/>
            <color indexed="81"/>
            <rFont val="Tahoma"/>
            <family val="2"/>
          </rPr>
          <t>Andi:</t>
        </r>
        <r>
          <rPr>
            <sz val="9"/>
            <color indexed="81"/>
            <rFont val="Tahoma"/>
            <family val="2"/>
          </rPr>
          <t xml:space="preserve">
% sampah plastik berupa styrofoam (3) yang mengganggu propeller kapal</t>
        </r>
      </text>
    </comment>
    <comment ref="AK80" authorId="0" shapeId="0">
      <text>
        <r>
          <rPr>
            <b/>
            <sz val="9"/>
            <color indexed="81"/>
            <rFont val="Tahoma"/>
            <family val="2"/>
          </rPr>
          <t>Andi:</t>
        </r>
        <r>
          <rPr>
            <sz val="9"/>
            <color indexed="81"/>
            <rFont val="Tahoma"/>
            <family val="2"/>
          </rPr>
          <t xml:space="preserve">
% nelayan yang setiap 7 kali trip melaut mengalami 1 kali gangguan sistem pendingin</t>
        </r>
      </text>
    </comment>
    <comment ref="AP80" authorId="0" shapeId="0">
      <text>
        <r>
          <rPr>
            <b/>
            <sz val="9"/>
            <color indexed="81"/>
            <rFont val="Tahoma"/>
            <family val="2"/>
          </rPr>
          <t>Andi:</t>
        </r>
        <r>
          <rPr>
            <sz val="9"/>
            <color indexed="81"/>
            <rFont val="Tahoma"/>
            <family val="2"/>
          </rPr>
          <t xml:space="preserve">
% gangguan sistem pendingin disebabkan  oleh styrofoam (3)</t>
        </r>
      </text>
    </comment>
    <comment ref="AS80" authorId="0" shapeId="0">
      <text>
        <r>
          <rPr>
            <b/>
            <sz val="9"/>
            <color indexed="81"/>
            <rFont val="Tahoma"/>
            <family val="2"/>
          </rPr>
          <t>Andi:</t>
        </r>
        <r>
          <rPr>
            <sz val="9"/>
            <color indexed="81"/>
            <rFont val="Tahoma"/>
            <family val="2"/>
          </rPr>
          <t xml:space="preserve">
% nelayan yang setiap 7 kali trip melaut mengalami 1 kali gangguan pada alat tangkap</t>
        </r>
      </text>
    </comment>
    <comment ref="AY80" authorId="0" shapeId="0">
      <text>
        <r>
          <rPr>
            <b/>
            <sz val="9"/>
            <color indexed="81"/>
            <rFont val="Tahoma"/>
            <family val="2"/>
          </rPr>
          <t>Andi:</t>
        </r>
        <r>
          <rPr>
            <sz val="9"/>
            <color indexed="81"/>
            <rFont val="Tahoma"/>
            <family val="2"/>
          </rPr>
          <t xml:space="preserve">
% jenis sampah plastik yang mengganggu alat tangkap nelayan yaitu styrofoam (3)</t>
        </r>
      </text>
    </comment>
    <comment ref="D81" authorId="0" shapeId="0">
      <text>
        <r>
          <rPr>
            <b/>
            <sz val="9"/>
            <color indexed="81"/>
            <rFont val="Tahoma"/>
            <family val="2"/>
          </rPr>
          <t>Andi:</t>
        </r>
        <r>
          <rPr>
            <sz val="9"/>
            <color indexed="81"/>
            <rFont val="Tahoma"/>
            <family val="2"/>
          </rPr>
          <t xml:space="preserve">
% nelayan yang setiap 7 kali trip melaut mengalami 1 kali gangguan</t>
        </r>
      </text>
    </comment>
    <comment ref="AC81" authorId="0" shapeId="0">
      <text>
        <r>
          <rPr>
            <b/>
            <sz val="9"/>
            <color indexed="81"/>
            <rFont val="Tahoma"/>
            <family val="2"/>
          </rPr>
          <t>Andi:</t>
        </r>
        <r>
          <rPr>
            <sz val="9"/>
            <color indexed="81"/>
            <rFont val="Tahoma"/>
            <family val="2"/>
          </rPr>
          <t xml:space="preserve">
% nelayan yang setiap 6 kali trip melaut mengalami 1 kali gangguan pada propeller</t>
        </r>
      </text>
    </comment>
    <comment ref="AH81" authorId="0" shapeId="0">
      <text>
        <r>
          <rPr>
            <b/>
            <sz val="9"/>
            <color indexed="81"/>
            <rFont val="Tahoma"/>
            <family val="2"/>
          </rPr>
          <t>Andi:</t>
        </r>
        <r>
          <rPr>
            <sz val="9"/>
            <color indexed="81"/>
            <rFont val="Tahoma"/>
            <family val="2"/>
          </rPr>
          <t xml:space="preserve">
% sampah plastik berupa peralatan rumah tangga yang terbuat dari plastik (4) yang mengganggu propeller kapal</t>
        </r>
      </text>
    </comment>
    <comment ref="AK81" authorId="0" shapeId="0">
      <text>
        <r>
          <rPr>
            <b/>
            <sz val="9"/>
            <color indexed="81"/>
            <rFont val="Tahoma"/>
            <family val="2"/>
          </rPr>
          <t>Andi:</t>
        </r>
        <r>
          <rPr>
            <sz val="9"/>
            <color indexed="81"/>
            <rFont val="Tahoma"/>
            <family val="2"/>
          </rPr>
          <t xml:space="preserve">
% nelayan yang setiap 8 kali trip melaut mengalami 1 kali gangguan sistem pendingin</t>
        </r>
      </text>
    </comment>
    <comment ref="AP81" authorId="0" shapeId="0">
      <text>
        <r>
          <rPr>
            <b/>
            <sz val="9"/>
            <color indexed="81"/>
            <rFont val="Tahoma"/>
            <family val="2"/>
          </rPr>
          <t>Andi:</t>
        </r>
        <r>
          <rPr>
            <sz val="9"/>
            <color indexed="81"/>
            <rFont val="Tahoma"/>
            <family val="2"/>
          </rPr>
          <t xml:space="preserve">
% gangguan sistem pendingin disebabkan  oleh peralatan rumah tangga yang terbuat dari plastik (4)</t>
        </r>
      </text>
    </comment>
    <comment ref="AY81" authorId="0" shapeId="0">
      <text>
        <r>
          <rPr>
            <b/>
            <sz val="9"/>
            <color indexed="81"/>
            <rFont val="Tahoma"/>
            <family val="2"/>
          </rPr>
          <t>Andi:</t>
        </r>
        <r>
          <rPr>
            <sz val="9"/>
            <color indexed="81"/>
            <rFont val="Tahoma"/>
            <family val="2"/>
          </rPr>
          <t xml:space="preserve">
% jenis sampah plastik yang mengganggu alat tangkap nelayan yaitu peralatan rumah tangga yang terbuat dari plastik (4)</t>
        </r>
      </text>
    </comment>
    <comment ref="AH82" authorId="0" shapeId="0">
      <text>
        <r>
          <rPr>
            <b/>
            <sz val="9"/>
            <color indexed="81"/>
            <rFont val="Tahoma"/>
            <family val="2"/>
          </rPr>
          <t>Andi:</t>
        </r>
        <r>
          <rPr>
            <sz val="9"/>
            <color indexed="81"/>
            <rFont val="Tahoma"/>
            <family val="2"/>
          </rPr>
          <t xml:space="preserve">
% sampah plastik berupa  jaring tangkap ikan yang sudah tidak terpakai (5)  yang mengganggu propeller kapal</t>
        </r>
      </text>
    </comment>
    <comment ref="AP82" authorId="0" shapeId="0">
      <text>
        <r>
          <rPr>
            <b/>
            <sz val="9"/>
            <color indexed="81"/>
            <rFont val="Tahoma"/>
            <family val="2"/>
          </rPr>
          <t>Andi:</t>
        </r>
        <r>
          <rPr>
            <sz val="9"/>
            <color indexed="81"/>
            <rFont val="Tahoma"/>
            <family val="2"/>
          </rPr>
          <t xml:space="preserve">
% gangguan sistem pendingin disebabkan  oleh jaring tangkap ikan yang sudah tidak terpakai (5)</t>
        </r>
      </text>
    </comment>
    <comment ref="AY82" authorId="0" shapeId="0">
      <text>
        <r>
          <rPr>
            <b/>
            <sz val="9"/>
            <color indexed="81"/>
            <rFont val="Tahoma"/>
            <family val="2"/>
          </rPr>
          <t>Andi:</t>
        </r>
        <r>
          <rPr>
            <sz val="9"/>
            <color indexed="81"/>
            <rFont val="Tahoma"/>
            <family val="2"/>
          </rPr>
          <t xml:space="preserve">
% jenis sampah plastik yang mengganggu alat tangkap nelayan yaitu jaring tangkap ikan yang sudah tidak terpakai (5)</t>
        </r>
      </text>
    </comment>
    <comment ref="AH83" authorId="0" shapeId="0">
      <text>
        <r>
          <rPr>
            <b/>
            <sz val="9"/>
            <color indexed="81"/>
            <rFont val="Tahoma"/>
            <family val="2"/>
          </rPr>
          <t>Andi:</t>
        </r>
        <r>
          <rPr>
            <sz val="9"/>
            <color indexed="81"/>
            <rFont val="Tahoma"/>
            <family val="2"/>
          </rPr>
          <t xml:space="preserve">
% sampah plastik berupa komponen perahu atau kapal yang terbuat dari plastik (6) yang mengganggu propeller kapal</t>
        </r>
      </text>
    </comment>
    <comment ref="AP83" authorId="0" shapeId="0">
      <text>
        <r>
          <rPr>
            <b/>
            <sz val="9"/>
            <color indexed="81"/>
            <rFont val="Tahoma"/>
            <family val="2"/>
          </rPr>
          <t>Andi:</t>
        </r>
        <r>
          <rPr>
            <sz val="9"/>
            <color indexed="81"/>
            <rFont val="Tahoma"/>
            <family val="2"/>
          </rPr>
          <t xml:space="preserve">
% gangguan sistem pendingin disebabkan  oleh komponen perahu dan kapal yang terbuat dari plastik</t>
        </r>
      </text>
    </comment>
    <comment ref="AY83" authorId="0" shapeId="0">
      <text>
        <r>
          <rPr>
            <b/>
            <sz val="9"/>
            <color indexed="81"/>
            <rFont val="Tahoma"/>
            <family val="2"/>
          </rPr>
          <t>Andi:</t>
        </r>
        <r>
          <rPr>
            <sz val="9"/>
            <color indexed="81"/>
            <rFont val="Tahoma"/>
            <family val="2"/>
          </rPr>
          <t xml:space="preserve">
% jenis sampah plastik yang mengganggu alat tangkap nelayan yaitu komponen perahu atau kapal yang terbuat dari plastik</t>
        </r>
      </text>
    </comment>
    <comment ref="D98" authorId="0" shapeId="0">
      <text>
        <r>
          <rPr>
            <b/>
            <sz val="9"/>
            <color indexed="81"/>
            <rFont val="Tahoma"/>
            <family val="2"/>
          </rPr>
          <t>Andi:</t>
        </r>
        <r>
          <rPr>
            <sz val="9"/>
            <color indexed="81"/>
            <rFont val="Tahoma"/>
            <family val="2"/>
          </rPr>
          <t xml:space="preserve">
% nelayan yang setiap 5 kali trip melaut mengalami 1 kali gangguan</t>
        </r>
      </text>
    </comment>
    <comment ref="K98" authorId="0" shapeId="0">
      <text>
        <r>
          <rPr>
            <b/>
            <sz val="9"/>
            <color indexed="81"/>
            <rFont val="Tahoma"/>
            <family val="2"/>
          </rPr>
          <t>Andi:</t>
        </r>
        <r>
          <rPr>
            <sz val="9"/>
            <color indexed="81"/>
            <rFont val="Tahoma"/>
            <family val="2"/>
          </rPr>
          <t xml:space="preserve">
% nelayan yang memutuskan merubah jalur untuk menuju DPI karena sampah plastik laut</t>
        </r>
      </text>
    </comment>
    <comment ref="AC98" authorId="0" shapeId="0">
      <text>
        <r>
          <rPr>
            <b/>
            <sz val="9"/>
            <color indexed="81"/>
            <rFont val="Tahoma"/>
            <family val="2"/>
          </rPr>
          <t>Andi:</t>
        </r>
        <r>
          <rPr>
            <sz val="9"/>
            <color indexed="81"/>
            <rFont val="Tahoma"/>
            <family val="2"/>
          </rPr>
          <t xml:space="preserve">
% nelayan yang setiap 5 kali trip melaut mengalami 1 kali gangguan pada propeller</t>
        </r>
      </text>
    </comment>
    <comment ref="AG98" authorId="0" shapeId="0">
      <text>
        <r>
          <rPr>
            <b/>
            <sz val="9"/>
            <color indexed="81"/>
            <rFont val="Tahoma"/>
            <family val="2"/>
          </rPr>
          <t>Andi:</t>
        </r>
        <r>
          <rPr>
            <sz val="9"/>
            <color indexed="81"/>
            <rFont val="Tahoma"/>
            <family val="2"/>
          </rPr>
          <t xml:space="preserve">
% gangguan propeller karena patah</t>
        </r>
      </text>
    </comment>
    <comment ref="AH98" authorId="0" shapeId="0">
      <text>
        <r>
          <rPr>
            <b/>
            <sz val="9"/>
            <color indexed="81"/>
            <rFont val="Tahoma"/>
            <family val="2"/>
          </rPr>
          <t>Andi:</t>
        </r>
        <r>
          <rPr>
            <sz val="9"/>
            <color indexed="81"/>
            <rFont val="Tahoma"/>
            <family val="2"/>
          </rPr>
          <t xml:space="preserve">
% sampah plastik berupa plastik kemasan (1) yang mengganggu propeller kapal</t>
        </r>
      </text>
    </comment>
    <comment ref="AI98" authorId="0" shapeId="0">
      <text>
        <r>
          <rPr>
            <b/>
            <sz val="9"/>
            <color indexed="81"/>
            <rFont val="Tahoma"/>
            <family val="2"/>
          </rPr>
          <t>Andi:</t>
        </r>
        <r>
          <rPr>
            <sz val="9"/>
            <color indexed="81"/>
            <rFont val="Tahoma"/>
            <family val="2"/>
          </rPr>
          <t xml:space="preserve">
% nelayan yang mengalami gangguan pada sistem pendingin</t>
        </r>
      </text>
    </comment>
    <comment ref="AK98" authorId="0" shapeId="0">
      <text>
        <r>
          <rPr>
            <b/>
            <sz val="9"/>
            <color indexed="81"/>
            <rFont val="Tahoma"/>
            <family val="2"/>
          </rPr>
          <t>Andi:</t>
        </r>
        <r>
          <rPr>
            <sz val="9"/>
            <color indexed="81"/>
            <rFont val="Tahoma"/>
            <family val="2"/>
          </rPr>
          <t xml:space="preserve">
% nelayan yang setiap 5 kali trip melaut mengalami 1 kali gangguan sistem pendingin</t>
        </r>
      </text>
    </comment>
    <comment ref="AO98" authorId="0" shapeId="0">
      <text>
        <r>
          <rPr>
            <b/>
            <sz val="9"/>
            <color indexed="81"/>
            <rFont val="Tahoma"/>
            <family val="2"/>
          </rPr>
          <t>Andi:</t>
        </r>
        <r>
          <rPr>
            <sz val="9"/>
            <color indexed="81"/>
            <rFont val="Tahoma"/>
            <family val="2"/>
          </rPr>
          <t xml:space="preserve">
% jenis gangguan berupa terumbatnya sistem pendingin</t>
        </r>
      </text>
    </comment>
    <comment ref="AP98" authorId="0" shapeId="0">
      <text>
        <r>
          <rPr>
            <b/>
            <sz val="9"/>
            <color indexed="81"/>
            <rFont val="Tahoma"/>
            <family val="2"/>
          </rPr>
          <t>Andi:</t>
        </r>
        <r>
          <rPr>
            <sz val="9"/>
            <color indexed="81"/>
            <rFont val="Tahoma"/>
            <family val="2"/>
          </rPr>
          <t xml:space="preserve">
% gangguan sistem pendingin disebabkan  oleh plastik kemasan (1)</t>
        </r>
      </text>
    </comment>
    <comment ref="AQ98" authorId="0" shapeId="0">
      <text>
        <r>
          <rPr>
            <b/>
            <sz val="9"/>
            <color indexed="81"/>
            <rFont val="Tahoma"/>
            <family val="2"/>
          </rPr>
          <t>Andi:</t>
        </r>
        <r>
          <rPr>
            <sz val="9"/>
            <color indexed="81"/>
            <rFont val="Tahoma"/>
            <family val="2"/>
          </rPr>
          <t xml:space="preserve">
% nelayan mengalami gangguan pada alat tangkap akibat sampah plastik laut</t>
        </r>
      </text>
    </comment>
    <comment ref="AS98" authorId="0" shapeId="0">
      <text>
        <r>
          <rPr>
            <b/>
            <sz val="9"/>
            <color indexed="81"/>
            <rFont val="Tahoma"/>
            <family val="2"/>
          </rPr>
          <t>Andi:</t>
        </r>
        <r>
          <rPr>
            <sz val="9"/>
            <color indexed="81"/>
            <rFont val="Tahoma"/>
            <family val="2"/>
          </rPr>
          <t xml:space="preserve">
% nelayan yang setiap 5 kali trip melaut mengalami 1 kali gangguan pada alat tangkap</t>
        </r>
      </text>
    </comment>
    <comment ref="AU98" authorId="0" shapeId="0">
      <text>
        <r>
          <rPr>
            <b/>
            <sz val="9"/>
            <color indexed="81"/>
            <rFont val="Tahoma"/>
            <family val="2"/>
          </rPr>
          <t>Andi:</t>
        </r>
        <r>
          <rPr>
            <sz val="9"/>
            <color indexed="81"/>
            <rFont val="Tahoma"/>
            <family val="2"/>
          </rPr>
          <t xml:space="preserve">
% gangguan komponen alat tangkap terjadi pada jaring</t>
        </r>
      </text>
    </comment>
    <comment ref="AX98" authorId="0" shapeId="0">
      <text>
        <r>
          <rPr>
            <b/>
            <sz val="9"/>
            <color indexed="81"/>
            <rFont val="Tahoma"/>
            <family val="2"/>
          </rPr>
          <t>Andi:</t>
        </r>
        <r>
          <rPr>
            <sz val="9"/>
            <color indexed="81"/>
            <rFont val="Tahoma"/>
            <family val="2"/>
          </rPr>
          <t xml:space="preserve">
% gangguan pada jaring tangkap adalah karena tersangkut sehingga robek</t>
        </r>
      </text>
    </comment>
    <comment ref="AY98" authorId="0" shapeId="0">
      <text>
        <r>
          <rPr>
            <b/>
            <sz val="9"/>
            <color indexed="81"/>
            <rFont val="Tahoma"/>
            <family val="2"/>
          </rPr>
          <t>Andi:</t>
        </r>
        <r>
          <rPr>
            <sz val="9"/>
            <color indexed="81"/>
            <rFont val="Tahoma"/>
            <family val="2"/>
          </rPr>
          <t xml:space="preserve">
% jenis sampah plastik yang mengganggu alat tangkap nelayan yaitu plastik kemasan (1)</t>
        </r>
      </text>
    </comment>
    <comment ref="D99" authorId="0" shapeId="0">
      <text>
        <r>
          <rPr>
            <b/>
            <sz val="9"/>
            <color indexed="81"/>
            <rFont val="Tahoma"/>
            <family val="2"/>
          </rPr>
          <t>Andi:</t>
        </r>
        <r>
          <rPr>
            <sz val="9"/>
            <color indexed="81"/>
            <rFont val="Tahoma"/>
            <family val="2"/>
          </rPr>
          <t xml:space="preserve">
% nelayan yang setiap 6 kali trip melaut mengalami 1 kali gangguan</t>
        </r>
      </text>
    </comment>
    <comment ref="K99" authorId="0" shapeId="0">
      <text>
        <r>
          <rPr>
            <b/>
            <sz val="9"/>
            <color indexed="81"/>
            <rFont val="Tahoma"/>
            <family val="2"/>
          </rPr>
          <t>Andi:</t>
        </r>
        <r>
          <rPr>
            <sz val="9"/>
            <color indexed="81"/>
            <rFont val="Tahoma"/>
            <family val="2"/>
          </rPr>
          <t xml:space="preserve">
% nelayan yang memutuskan mencari alternatif DPI lainnyaI karena sampah plastik laut</t>
        </r>
      </text>
    </comment>
    <comment ref="AC99" authorId="0" shapeId="0">
      <text>
        <r>
          <rPr>
            <b/>
            <sz val="9"/>
            <color indexed="81"/>
            <rFont val="Tahoma"/>
            <family val="2"/>
          </rPr>
          <t>Andi:</t>
        </r>
        <r>
          <rPr>
            <sz val="9"/>
            <color indexed="81"/>
            <rFont val="Tahoma"/>
            <family val="2"/>
          </rPr>
          <t xml:space="preserve">
% nelayan yang setiap 6 kali trip melaut mengalami 1 kali gangguan pada propeller</t>
        </r>
      </text>
    </comment>
    <comment ref="AH99" authorId="0" shapeId="0">
      <text>
        <r>
          <rPr>
            <b/>
            <sz val="9"/>
            <color indexed="81"/>
            <rFont val="Tahoma"/>
            <family val="2"/>
          </rPr>
          <t>Andi:</t>
        </r>
        <r>
          <rPr>
            <sz val="9"/>
            <color indexed="81"/>
            <rFont val="Tahoma"/>
            <family val="2"/>
          </rPr>
          <t xml:space="preserve">
% sampah plastik berupa botol plastik (2) yang mengganggu propeller kapal</t>
        </r>
      </text>
    </comment>
    <comment ref="AK99" authorId="0" shapeId="0">
      <text>
        <r>
          <rPr>
            <b/>
            <sz val="9"/>
            <color indexed="81"/>
            <rFont val="Tahoma"/>
            <family val="2"/>
          </rPr>
          <t>Andi:</t>
        </r>
        <r>
          <rPr>
            <sz val="9"/>
            <color indexed="81"/>
            <rFont val="Tahoma"/>
            <family val="2"/>
          </rPr>
          <t xml:space="preserve">
% nelayan yang setiap 6 kali trip melaut mengalami 1 kali gangguan sistem pendingin</t>
        </r>
      </text>
    </comment>
    <comment ref="AP99" authorId="0" shapeId="0">
      <text>
        <r>
          <rPr>
            <b/>
            <sz val="9"/>
            <color indexed="81"/>
            <rFont val="Tahoma"/>
            <family val="2"/>
          </rPr>
          <t>Andi:</t>
        </r>
        <r>
          <rPr>
            <sz val="9"/>
            <color indexed="81"/>
            <rFont val="Tahoma"/>
            <family val="2"/>
          </rPr>
          <t xml:space="preserve">
% gangguan sistem pendingin disebabkan  oleh  botol plastik (2)</t>
        </r>
      </text>
    </comment>
    <comment ref="AS99" authorId="0" shapeId="0">
      <text>
        <r>
          <rPr>
            <b/>
            <sz val="9"/>
            <color indexed="81"/>
            <rFont val="Tahoma"/>
            <family val="2"/>
          </rPr>
          <t>Andi:</t>
        </r>
        <r>
          <rPr>
            <sz val="9"/>
            <color indexed="81"/>
            <rFont val="Tahoma"/>
            <family val="2"/>
          </rPr>
          <t xml:space="preserve">
% nelayan yang setiap 6 kali trip melaut mengalami 1 kali gangguan pada alat tangkap</t>
        </r>
      </text>
    </comment>
    <comment ref="AY99" authorId="0" shapeId="0">
      <text>
        <r>
          <rPr>
            <b/>
            <sz val="9"/>
            <color indexed="81"/>
            <rFont val="Tahoma"/>
            <family val="2"/>
          </rPr>
          <t>Andi:</t>
        </r>
        <r>
          <rPr>
            <sz val="9"/>
            <color indexed="81"/>
            <rFont val="Tahoma"/>
            <family val="2"/>
          </rPr>
          <t xml:space="preserve">
% jenis sampah plastik yang mengganggu alat tangkap nelayan yaitu botol plastik (2)</t>
        </r>
      </text>
    </comment>
    <comment ref="D100" authorId="0" shapeId="0">
      <text>
        <r>
          <rPr>
            <b/>
            <sz val="9"/>
            <color indexed="81"/>
            <rFont val="Tahoma"/>
            <family val="2"/>
          </rPr>
          <t>Andi:</t>
        </r>
        <r>
          <rPr>
            <sz val="9"/>
            <color indexed="81"/>
            <rFont val="Tahoma"/>
            <family val="2"/>
          </rPr>
          <t xml:space="preserve">
% nelayan yang setiap 7 kali trip melaut mengalami 1 kali gangguan</t>
        </r>
      </text>
    </comment>
    <comment ref="AC100" authorId="0" shapeId="0">
      <text>
        <r>
          <rPr>
            <b/>
            <sz val="9"/>
            <color indexed="81"/>
            <rFont val="Tahoma"/>
            <family val="2"/>
          </rPr>
          <t>Andi:</t>
        </r>
        <r>
          <rPr>
            <sz val="9"/>
            <color indexed="81"/>
            <rFont val="Tahoma"/>
            <family val="2"/>
          </rPr>
          <t xml:space="preserve">
% nelayan yang setiap 6 kali trip melaut mengalami 1 kali gangguan pada propeller</t>
        </r>
      </text>
    </comment>
    <comment ref="AH100" authorId="0" shapeId="0">
      <text>
        <r>
          <rPr>
            <b/>
            <sz val="9"/>
            <color indexed="81"/>
            <rFont val="Tahoma"/>
            <family val="2"/>
          </rPr>
          <t>Andi:</t>
        </r>
        <r>
          <rPr>
            <sz val="9"/>
            <color indexed="81"/>
            <rFont val="Tahoma"/>
            <family val="2"/>
          </rPr>
          <t xml:space="preserve">
% sampah plastik berupa styrofoam (3) yang mengganggu propeller kapal</t>
        </r>
      </text>
    </comment>
    <comment ref="AK100" authorId="0" shapeId="0">
      <text>
        <r>
          <rPr>
            <b/>
            <sz val="9"/>
            <color indexed="81"/>
            <rFont val="Tahoma"/>
            <family val="2"/>
          </rPr>
          <t>Andi:</t>
        </r>
        <r>
          <rPr>
            <sz val="9"/>
            <color indexed="81"/>
            <rFont val="Tahoma"/>
            <family val="2"/>
          </rPr>
          <t xml:space="preserve">
% nelayan yang setiap 7 kali trip melaut mengalami 1 kali gangguan sistem pendingin</t>
        </r>
      </text>
    </comment>
    <comment ref="AP100" authorId="0" shapeId="0">
      <text>
        <r>
          <rPr>
            <b/>
            <sz val="9"/>
            <color indexed="81"/>
            <rFont val="Tahoma"/>
            <family val="2"/>
          </rPr>
          <t>Andi:</t>
        </r>
        <r>
          <rPr>
            <sz val="9"/>
            <color indexed="81"/>
            <rFont val="Tahoma"/>
            <family val="2"/>
          </rPr>
          <t xml:space="preserve">
% gangguan sistem pendingin disebabkan  oleh styrofoam (3)</t>
        </r>
      </text>
    </comment>
    <comment ref="AS100" authorId="0" shapeId="0">
      <text>
        <r>
          <rPr>
            <b/>
            <sz val="9"/>
            <color indexed="81"/>
            <rFont val="Tahoma"/>
            <family val="2"/>
          </rPr>
          <t>Andi:</t>
        </r>
        <r>
          <rPr>
            <sz val="9"/>
            <color indexed="81"/>
            <rFont val="Tahoma"/>
            <family val="2"/>
          </rPr>
          <t xml:space="preserve">
% nelayan yang setiap 7 kali trip melaut mengalami 1 kali gangguan pada alat tangkap</t>
        </r>
      </text>
    </comment>
    <comment ref="AY100" authorId="0" shapeId="0">
      <text>
        <r>
          <rPr>
            <b/>
            <sz val="9"/>
            <color indexed="81"/>
            <rFont val="Tahoma"/>
            <family val="2"/>
          </rPr>
          <t>Andi:</t>
        </r>
        <r>
          <rPr>
            <sz val="9"/>
            <color indexed="81"/>
            <rFont val="Tahoma"/>
            <family val="2"/>
          </rPr>
          <t xml:space="preserve">
% jenis sampah plastik yang mengganggu alat tangkap nelayan yaitu styrofoam (3)</t>
        </r>
      </text>
    </comment>
    <comment ref="D101" authorId="0" shapeId="0">
      <text>
        <r>
          <rPr>
            <b/>
            <sz val="9"/>
            <color indexed="81"/>
            <rFont val="Tahoma"/>
            <family val="2"/>
          </rPr>
          <t>Andi:</t>
        </r>
        <r>
          <rPr>
            <sz val="9"/>
            <color indexed="81"/>
            <rFont val="Tahoma"/>
            <family val="2"/>
          </rPr>
          <t xml:space="preserve">
% nelayan yang setiap 8 kali trip melaut mengalami 1 kali gangguan</t>
        </r>
      </text>
    </comment>
    <comment ref="AH101" authorId="0" shapeId="0">
      <text>
        <r>
          <rPr>
            <b/>
            <sz val="9"/>
            <color indexed="81"/>
            <rFont val="Tahoma"/>
            <family val="2"/>
          </rPr>
          <t>Andi:</t>
        </r>
        <r>
          <rPr>
            <sz val="9"/>
            <color indexed="81"/>
            <rFont val="Tahoma"/>
            <family val="2"/>
          </rPr>
          <t xml:space="preserve">
% sampah plastik berupa peralatan rumah tangga yang terbuat dari plastik (4) yang mengganggu propeller kapal</t>
        </r>
      </text>
    </comment>
    <comment ref="AK101" authorId="0" shapeId="0">
      <text>
        <r>
          <rPr>
            <b/>
            <sz val="9"/>
            <color indexed="81"/>
            <rFont val="Tahoma"/>
            <family val="2"/>
          </rPr>
          <t>Andi:</t>
        </r>
        <r>
          <rPr>
            <sz val="9"/>
            <color indexed="81"/>
            <rFont val="Tahoma"/>
            <family val="2"/>
          </rPr>
          <t xml:space="preserve">
% nelayan yang setiap 8 kali trip melaut mengalami 1 kali gangguan sistem pendingin</t>
        </r>
      </text>
    </comment>
    <comment ref="AP101" authorId="0" shapeId="0">
      <text>
        <r>
          <rPr>
            <b/>
            <sz val="9"/>
            <color indexed="81"/>
            <rFont val="Tahoma"/>
            <family val="2"/>
          </rPr>
          <t>Andi:</t>
        </r>
        <r>
          <rPr>
            <sz val="9"/>
            <color indexed="81"/>
            <rFont val="Tahoma"/>
            <family val="2"/>
          </rPr>
          <t xml:space="preserve">
% gangguan sistem pendingin disebabkan  oleh peralatan rumah tangga yang terbuat dari plastik (4)</t>
        </r>
      </text>
    </comment>
    <comment ref="AY101" authorId="0" shapeId="0">
      <text>
        <r>
          <rPr>
            <b/>
            <sz val="9"/>
            <color indexed="81"/>
            <rFont val="Tahoma"/>
            <family val="2"/>
          </rPr>
          <t>Andi:</t>
        </r>
        <r>
          <rPr>
            <sz val="9"/>
            <color indexed="81"/>
            <rFont val="Tahoma"/>
            <family val="2"/>
          </rPr>
          <t xml:space="preserve">
% jenis sampah plastik yang mengganggu alat tangkap nelayan yaitu peralatan rumah tangga yang terbuat dari plastik (4)</t>
        </r>
      </text>
    </comment>
    <comment ref="AH102" authorId="0" shapeId="0">
      <text>
        <r>
          <rPr>
            <b/>
            <sz val="9"/>
            <color indexed="81"/>
            <rFont val="Tahoma"/>
            <family val="2"/>
          </rPr>
          <t>Andi:</t>
        </r>
        <r>
          <rPr>
            <sz val="9"/>
            <color indexed="81"/>
            <rFont val="Tahoma"/>
            <family val="2"/>
          </rPr>
          <t xml:space="preserve">
% sampah plastik berupa jaring tangkap ikan yang sudah tidak terpakai (5) yang mengganggu propeller kapal</t>
        </r>
      </text>
    </comment>
    <comment ref="AP102" authorId="0" shapeId="0">
      <text>
        <r>
          <rPr>
            <b/>
            <sz val="9"/>
            <color indexed="81"/>
            <rFont val="Tahoma"/>
            <family val="2"/>
          </rPr>
          <t>Andi:</t>
        </r>
        <r>
          <rPr>
            <sz val="9"/>
            <color indexed="81"/>
            <rFont val="Tahoma"/>
            <family val="2"/>
          </rPr>
          <t xml:space="preserve">
% gangguan sistem pendingin disebabkan  oleh jaring tangkap ikan yang sudah tidak terpakai (5)</t>
        </r>
      </text>
    </comment>
    <comment ref="AY102" authorId="0" shapeId="0">
      <text>
        <r>
          <rPr>
            <b/>
            <sz val="9"/>
            <color indexed="81"/>
            <rFont val="Tahoma"/>
            <family val="2"/>
          </rPr>
          <t>Andi:</t>
        </r>
        <r>
          <rPr>
            <sz val="9"/>
            <color indexed="81"/>
            <rFont val="Tahoma"/>
            <family val="2"/>
          </rPr>
          <t xml:space="preserve">
% jenis sampah plastik yang mengganggu alat tangkap nelayan yaitu jaring tangkap ikan nelayn yang sudah tidak terpakai (5)</t>
        </r>
      </text>
    </comment>
    <comment ref="AH103" authorId="0" shapeId="0">
      <text>
        <r>
          <rPr>
            <b/>
            <sz val="9"/>
            <color indexed="81"/>
            <rFont val="Tahoma"/>
            <family val="2"/>
          </rPr>
          <t>Andi:</t>
        </r>
        <r>
          <rPr>
            <sz val="9"/>
            <color indexed="81"/>
            <rFont val="Tahoma"/>
            <family val="2"/>
          </rPr>
          <t xml:space="preserve">
% sampah plastik berupa komponen perahu atau kapal yang terbuat dari plastik yang mengganggu propeller kapal</t>
        </r>
      </text>
    </comment>
    <comment ref="AP103" authorId="0" shapeId="0">
      <text>
        <r>
          <rPr>
            <b/>
            <sz val="9"/>
            <color indexed="81"/>
            <rFont val="Tahoma"/>
            <family val="2"/>
          </rPr>
          <t>Andi:</t>
        </r>
        <r>
          <rPr>
            <sz val="9"/>
            <color indexed="81"/>
            <rFont val="Tahoma"/>
            <family val="2"/>
          </rPr>
          <t xml:space="preserve">
% gangguan sistem pendingin disebabkan  oleh komponen perahu atau kapal yang terbuat dari plastik (6)</t>
        </r>
      </text>
    </comment>
    <comment ref="AY103" authorId="0" shapeId="0">
      <text>
        <r>
          <rPr>
            <b/>
            <sz val="9"/>
            <color indexed="81"/>
            <rFont val="Tahoma"/>
            <family val="2"/>
          </rPr>
          <t>Andi:</t>
        </r>
        <r>
          <rPr>
            <sz val="9"/>
            <color indexed="81"/>
            <rFont val="Tahoma"/>
            <family val="2"/>
          </rPr>
          <t xml:space="preserve">
% jenis sampah plastik yang mengganggu alat tangkap nelayan yaitu komponen perahu atau kapal yang terbuat dari plastik (6)</t>
        </r>
      </text>
    </comment>
  </commentList>
</comments>
</file>

<file path=xl/sharedStrings.xml><?xml version="1.0" encoding="utf-8"?>
<sst xmlns="http://schemas.openxmlformats.org/spreadsheetml/2006/main" count="914" uniqueCount="370">
  <si>
    <t>No.</t>
  </si>
  <si>
    <t>Pendidikan</t>
  </si>
  <si>
    <t>Nama responden</t>
  </si>
  <si>
    <t>Jenis kelamin</t>
  </si>
  <si>
    <t>Pengalaman sebagai nelayan (tahun)</t>
  </si>
  <si>
    <t>Spesifikasi perahu/kapal</t>
  </si>
  <si>
    <t>Ukuran kapal</t>
  </si>
  <si>
    <t>Umur kapal telah beroperasi</t>
  </si>
  <si>
    <t>Jenis alat tangkap</t>
  </si>
  <si>
    <t>Lokasi daerah penangkapan ikan (DPI)</t>
  </si>
  <si>
    <t>Sumber sampah plastik</t>
  </si>
  <si>
    <t>Kondisi sampah plastik (2017-2019)</t>
  </si>
  <si>
    <t>Banyaknya sampah plastik dalam seminggu (7 hari)</t>
  </si>
  <si>
    <t>Jenis sampah plastik yang menurun (2017-2019)</t>
  </si>
  <si>
    <t>Jenis sampah plastik yang meningkat (2017-2019)</t>
  </si>
  <si>
    <t>Tindakan yang dilakukan jika sampah plastik laut tersangkut alat tangkap atau tercampur dalam hasil tangkapan</t>
  </si>
  <si>
    <t xml:space="preserve">Keterlibatan kelompok atau lembaga dalam program pengelolaan sampah plastik </t>
  </si>
  <si>
    <t>Keterlibatan masyarakat</t>
  </si>
  <si>
    <t xml:space="preserve">Pengelolaan sampah plastik secara mandiri dalam sebulan </t>
  </si>
  <si>
    <t xml:space="preserve">Dorongan pengelolaan sampah plastik secara mandiri </t>
  </si>
  <si>
    <t xml:space="preserve">Alamat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</si>
  <si>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</si>
  <si>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</si>
  <si>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</si>
  <si>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</si>
  <si>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</si>
  <si>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</si>
  <si>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</si>
  <si>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</si>
  <si>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</si>
  <si>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</si>
  <si>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</si>
  <si>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</si>
  <si>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</si>
  <si>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</si>
  <si>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</si>
  <si>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</si>
  <si>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</si>
  <si>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</si>
  <si>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</si>
  <si>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</si>
  <si>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</si>
  <si>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</si>
  <si>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</si>
  <si>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</si>
  <si>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</si>
  <si>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</si>
  <si>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</si>
  <si>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</si>
  <si>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</si>
  <si>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</si>
  <si>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</si>
  <si>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</si>
  <si>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</si>
  <si>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</si>
  <si>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</si>
  <si>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</si>
  <si>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</si>
  <si>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</si>
  <si>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 xml:space="preserve">39. </t>
  </si>
  <si>
    <t>40.</t>
  </si>
  <si>
    <t>41.</t>
  </si>
  <si>
    <t>42.</t>
  </si>
  <si>
    <t>43.</t>
  </si>
  <si>
    <t>44.</t>
  </si>
  <si>
    <t>45.</t>
  </si>
  <si>
    <t>46.</t>
  </si>
  <si>
    <t>47.</t>
  </si>
  <si>
    <t>48.</t>
  </si>
  <si>
    <t>49.</t>
  </si>
  <si>
    <t>50.</t>
  </si>
  <si>
    <t>Radija</t>
  </si>
  <si>
    <t xml:space="preserve">Anto </t>
  </si>
  <si>
    <t>Kaliadem</t>
  </si>
  <si>
    <t>Gawil</t>
  </si>
  <si>
    <t xml:space="preserve">Cilincing </t>
  </si>
  <si>
    <t xml:space="preserve">Wahyu </t>
  </si>
  <si>
    <t>Muara Angke</t>
  </si>
  <si>
    <t xml:space="preserve">Rayan </t>
  </si>
  <si>
    <t xml:space="preserve">Kaliadem </t>
  </si>
  <si>
    <t>Narsan</t>
  </si>
  <si>
    <t xml:space="preserve">Tasiman </t>
  </si>
  <si>
    <t xml:space="preserve">Sartiman </t>
  </si>
  <si>
    <t>Pluit</t>
  </si>
  <si>
    <t>Urip</t>
  </si>
  <si>
    <t xml:space="preserve">Muara Angke </t>
  </si>
  <si>
    <t>Kadira</t>
  </si>
  <si>
    <t xml:space="preserve">Karmin </t>
  </si>
  <si>
    <t xml:space="preserve">Calim </t>
  </si>
  <si>
    <t xml:space="preserve">Rakhim </t>
  </si>
  <si>
    <t xml:space="preserve">Datok </t>
  </si>
  <si>
    <t>Damin</t>
  </si>
  <si>
    <t xml:space="preserve">Charlani </t>
  </si>
  <si>
    <t xml:space="preserve">Kadim </t>
  </si>
  <si>
    <t>Jayana</t>
  </si>
  <si>
    <t xml:space="preserve">Syarif </t>
  </si>
  <si>
    <t>Indramayu</t>
  </si>
  <si>
    <t>M. Santoso</t>
  </si>
  <si>
    <t xml:space="preserve">Salim </t>
  </si>
  <si>
    <t xml:space="preserve">Zailani </t>
  </si>
  <si>
    <t>Brebes</t>
  </si>
  <si>
    <t>Sarjan</t>
  </si>
  <si>
    <t>Banjar Negara</t>
  </si>
  <si>
    <t>Tarsa</t>
  </si>
  <si>
    <t xml:space="preserve">Bustan </t>
  </si>
  <si>
    <t>Romli</t>
  </si>
  <si>
    <t xml:space="preserve">Serang </t>
  </si>
  <si>
    <t>Sanurki</t>
  </si>
  <si>
    <t>Sutarjo</t>
  </si>
  <si>
    <t xml:space="preserve">Carmin </t>
  </si>
  <si>
    <t>Zaenal</t>
  </si>
  <si>
    <t>Yanmar</t>
  </si>
  <si>
    <t>Pulau Kepala</t>
  </si>
  <si>
    <t>Kasno</t>
  </si>
  <si>
    <t xml:space="preserve">Sokip </t>
  </si>
  <si>
    <t xml:space="preserve">Giono </t>
  </si>
  <si>
    <t xml:space="preserve">Sarno </t>
  </si>
  <si>
    <t>Burhan</t>
  </si>
  <si>
    <t xml:space="preserve">Pluit </t>
  </si>
  <si>
    <t xml:space="preserve">Cakram </t>
  </si>
  <si>
    <t xml:space="preserve">Hano </t>
  </si>
  <si>
    <t xml:space="preserve">Pulogadung </t>
  </si>
  <si>
    <t xml:space="preserve">Samsudin </t>
  </si>
  <si>
    <t xml:space="preserve">Maryo </t>
  </si>
  <si>
    <t>Juhaedi</t>
  </si>
  <si>
    <t>Suroso</t>
  </si>
  <si>
    <t xml:space="preserve">Abdul Jalil </t>
  </si>
  <si>
    <t xml:space="preserve">Martono </t>
  </si>
  <si>
    <t xml:space="preserve">Takhroni </t>
  </si>
  <si>
    <t xml:space="preserve">Kartono </t>
  </si>
  <si>
    <t>Pulogadung</t>
  </si>
  <si>
    <t xml:space="preserve">Baharudin </t>
  </si>
  <si>
    <t xml:space="preserve">Lana </t>
  </si>
  <si>
    <t>Ari</t>
  </si>
  <si>
    <t>Sukari</t>
  </si>
  <si>
    <t>Umur (tahun)</t>
  </si>
  <si>
    <t>Marunda</t>
  </si>
  <si>
    <t>Cilincing</t>
  </si>
  <si>
    <t>Kamal Muara</t>
  </si>
  <si>
    <t>Muara Baru</t>
  </si>
  <si>
    <t>Kalibaru</t>
  </si>
  <si>
    <t>Rerata</t>
  </si>
  <si>
    <t xml:space="preserve">Modus </t>
  </si>
  <si>
    <t>Jumlah tanggungan (orang)</t>
  </si>
  <si>
    <t>Presentase (%)</t>
  </si>
  <si>
    <t>Pulau Damar</t>
  </si>
  <si>
    <t>Pulau G</t>
  </si>
  <si>
    <t>Muara Gembong</t>
  </si>
  <si>
    <t>Ancol</t>
  </si>
  <si>
    <t xml:space="preserve">Tanjung Pasir </t>
  </si>
  <si>
    <t xml:space="preserve">Pulau Damar </t>
  </si>
  <si>
    <t xml:space="preserve">Pulau Seribu </t>
  </si>
  <si>
    <t>Cilicincing</t>
  </si>
  <si>
    <t>Teluk Jakarta</t>
  </si>
  <si>
    <t xml:space="preserve">Karawang </t>
  </si>
  <si>
    <t xml:space="preserve">Pala Jaya </t>
  </si>
  <si>
    <t xml:space="preserve">Tanjung Pandan </t>
  </si>
  <si>
    <t xml:space="preserve">Teluk Jakarta </t>
  </si>
  <si>
    <t>Karang Keroya</t>
  </si>
  <si>
    <t>Muara Dadap</t>
  </si>
  <si>
    <t>Tanjung Pasir</t>
  </si>
  <si>
    <t xml:space="preserve">Muara Dadap </t>
  </si>
  <si>
    <t xml:space="preserve">Kepulauan Seribu </t>
  </si>
  <si>
    <t>Kepulauan Seribu</t>
  </si>
  <si>
    <t>Karawang</t>
  </si>
  <si>
    <t>Muara Karang</t>
  </si>
  <si>
    <t xml:space="preserve">Pulau Bendera  </t>
  </si>
  <si>
    <t xml:space="preserve">Banten </t>
  </si>
  <si>
    <t>Tanjung Dembong</t>
  </si>
  <si>
    <t xml:space="preserve">Subang </t>
  </si>
  <si>
    <t>INFORMASI NELAYAN RESPONDEN DAN PERSEPSI PENGETAHUAN NELAYAN TENTANG SAMPAH PLASTIK LAUT</t>
  </si>
  <si>
    <t>Kegiatan atau program pengelolaan sampah plastik dalam setahun</t>
  </si>
  <si>
    <t>KERUGIAN EKONOMI PADA AKTIVITAS NELAYAN KECIL AKIBAT SAMPAH PLASTIK LAUT</t>
  </si>
  <si>
    <t xml:space="preserve">Nama Responden </t>
  </si>
  <si>
    <t>Gangguan sampah plastik laut dalam sekali trip penangkapan ikan</t>
  </si>
  <si>
    <t xml:space="preserve">Jumlah gangguan </t>
  </si>
  <si>
    <t>Jumlah trip melaut</t>
  </si>
  <si>
    <t>Peluang gangguan</t>
  </si>
  <si>
    <t>Jarak tempuh (mil)</t>
  </si>
  <si>
    <t>Waktu tempuh (jam)</t>
  </si>
  <si>
    <t>Kebutuhan solar (liter)</t>
  </si>
  <si>
    <t>Biaya solar (Rp)</t>
  </si>
  <si>
    <t>Biaya logistik (Rp)</t>
  </si>
  <si>
    <t>Perkiraan biaya perbaikan</t>
  </si>
  <si>
    <t>Jenis sampah plastik</t>
  </si>
  <si>
    <t>Jumlah gangguan</t>
  </si>
  <si>
    <t>Komponen alat tangkap yang sering terganggu</t>
  </si>
  <si>
    <t>Hasil tangkapan dalam sekali trip penangkapan ikan (kg)</t>
  </si>
  <si>
    <t>Jika tidak terdampak</t>
  </si>
  <si>
    <t>Jika terdampak</t>
  </si>
  <si>
    <t xml:space="preserve">Total biaya operasional dalam sekali trip penangkapan </t>
  </si>
  <si>
    <t>Total penerimaan dalam sekali trip penangkapan (Rp)</t>
  </si>
  <si>
    <t>Pendapatan dalam sekali trip penangkapan (Rp)</t>
  </si>
  <si>
    <t xml:space="preserve">Perubahan pendapatan </t>
  </si>
  <si>
    <t>Persentase perubahan (%)</t>
  </si>
  <si>
    <t>Perkiraan sampah pastik laut yang tersangkut bersamaan hasil tangkapan (kg)</t>
  </si>
  <si>
    <t>Modus</t>
  </si>
  <si>
    <t>Persentase (%)</t>
  </si>
  <si>
    <t>Peluang gangguan aktivitas nelayan karena sampah plastik laut (dalam seminggu)</t>
  </si>
  <si>
    <t>Perkiraan jumlah sampah plastik di pesisir laut (dalam per m2)</t>
  </si>
  <si>
    <t>Gangguan pola penangkapan ikan (1) merubah jalur menuju DPI; (2) mencari alternatif DPI lainnya; atau (3) tidak kedua-duannya</t>
  </si>
  <si>
    <t>Gangguan pada propeller kapal (0= tidak; 1 = ya)</t>
  </si>
  <si>
    <t>Deskripsi kerusakan atau gangguan</t>
  </si>
  <si>
    <t xml:space="preserve">Resiko biaya yang dikeluarkan </t>
  </si>
  <si>
    <t>Kondisi gangguan sampah plastik laut pada propeller (dalam sekali trip penangkapan)</t>
  </si>
  <si>
    <t>Gangguan pada sistem pendingin kapal (0 = tidak; 1 = ya)</t>
  </si>
  <si>
    <t>Kondisi gangguan sampah plastik pada sistem pendingin kapal (dalam sekali trip penangkapan)</t>
  </si>
  <si>
    <t>Gangguan pada alat tangkap (0 = tidak; 1 = ya)</t>
  </si>
  <si>
    <t>Jaring</t>
  </si>
  <si>
    <t>Resiko biaya yang dikeluarkan</t>
  </si>
  <si>
    <t>Tersumbat</t>
  </si>
  <si>
    <t>Kondisi gangguan sampah plastik pada alat tangkap (dalam sekali trip penangkapan)</t>
  </si>
  <si>
    <t>Patah</t>
  </si>
  <si>
    <t>Tersangkut/robek</t>
  </si>
  <si>
    <t xml:space="preserve">DATA INFORMASI UMUM NELAYAN RESPONDEN </t>
  </si>
  <si>
    <t xml:space="preserve">No. </t>
  </si>
  <si>
    <t xml:space="preserve">Faktor </t>
  </si>
  <si>
    <t xml:space="preserve">Satuan </t>
  </si>
  <si>
    <t>Klasifikasi</t>
  </si>
  <si>
    <t>Umur</t>
  </si>
  <si>
    <t>&gt;50</t>
  </si>
  <si>
    <t>Pria</t>
  </si>
  <si>
    <t>Wanita</t>
  </si>
  <si>
    <t xml:space="preserve">Pendidikan </t>
  </si>
  <si>
    <t>Tidak sekolah</t>
  </si>
  <si>
    <t>Tamatan SD</t>
  </si>
  <si>
    <t>Tamatan SMP</t>
  </si>
  <si>
    <t>Tamatan SMA</t>
  </si>
  <si>
    <t xml:space="preserve">Tamatan Sarjana </t>
  </si>
  <si>
    <t>Pengalaman sebagai nelayan</t>
  </si>
  <si>
    <t xml:space="preserve">Jumlah tanggungan </t>
  </si>
  <si>
    <t>orang</t>
  </si>
  <si>
    <t>&gt;5</t>
  </si>
  <si>
    <t>Spesifikasi kapal</t>
  </si>
  <si>
    <t>GT</t>
  </si>
  <si>
    <t>meter</t>
  </si>
  <si>
    <t>&lt;7</t>
  </si>
  <si>
    <t>&gt;10</t>
  </si>
  <si>
    <t>&lt;1</t>
  </si>
  <si>
    <t>Jaring angkat / jala</t>
  </si>
  <si>
    <t>Jaring lingkar</t>
  </si>
  <si>
    <t xml:space="preserve">Pukat </t>
  </si>
  <si>
    <t>Trawl</t>
  </si>
  <si>
    <t xml:space="preserve">Payang </t>
  </si>
  <si>
    <t>Rawai</t>
  </si>
  <si>
    <t>Pukat cincin</t>
  </si>
  <si>
    <t>1 - 3</t>
  </si>
  <si>
    <t>3 - 5</t>
  </si>
  <si>
    <t>&gt; 5</t>
  </si>
  <si>
    <t xml:space="preserve">tahun </t>
  </si>
  <si>
    <t>7 - 10</t>
  </si>
  <si>
    <t>PENGETAHUAN DAN PERSEPSI MASYARAKAT MENGENAI SAMPAH PLASTIK</t>
  </si>
  <si>
    <t>Indikator</t>
  </si>
  <si>
    <t>Industri skala besar (pabrik)</t>
  </si>
  <si>
    <t>Uraian</t>
  </si>
  <si>
    <t>Industri skala kecil &amp; menengah</t>
  </si>
  <si>
    <t>Rumah makan atau restoran</t>
  </si>
  <si>
    <t>Wisatawan</t>
  </si>
  <si>
    <t>Aktivitas perikanan</t>
  </si>
  <si>
    <t>Masyarakat atau penduduk lokal</t>
  </si>
  <si>
    <t>0 hari</t>
  </si>
  <si>
    <t>1 hari</t>
  </si>
  <si>
    <t>2 hari</t>
  </si>
  <si>
    <t>3 hari</t>
  </si>
  <si>
    <t>4 hari</t>
  </si>
  <si>
    <t>5 hari</t>
  </si>
  <si>
    <t>6 hari</t>
  </si>
  <si>
    <t>7 hari</t>
  </si>
  <si>
    <t>Semakin sedikit (menurun)</t>
  </si>
  <si>
    <t>Tetap (sama setiap tahun)</t>
  </si>
  <si>
    <t>Perkiraan jumlah sampah plastik di pesisir laut</t>
  </si>
  <si>
    <t>Sedikit (1 - 3 sampah per m2)</t>
  </si>
  <si>
    <t>Sedang (3 - 5 sampah per m2)</t>
  </si>
  <si>
    <t>Banyak (&gt;5 sampah per m2)</t>
  </si>
  <si>
    <t>Jenis sampah plastik yang meningkat</t>
  </si>
  <si>
    <t>Plastik kemasan</t>
  </si>
  <si>
    <t>Botol plastik</t>
  </si>
  <si>
    <t>Styrofoam</t>
  </si>
  <si>
    <t>Peralatan rumah tangga</t>
  </si>
  <si>
    <t>Jaring tangkap nelayan</t>
  </si>
  <si>
    <t>Komponen perahu atau kapal</t>
  </si>
  <si>
    <t>Jenis sampah plastik yang menurun</t>
  </si>
  <si>
    <t>Tindakan jika sampah plastik tersangkut pada alat tangkap atau terbawa bersamaan hasil tangkapan</t>
  </si>
  <si>
    <t>Dibuang kembali ke laut</t>
  </si>
  <si>
    <t>Dibawa ke daratan untuk dikelola</t>
  </si>
  <si>
    <t>Keterlibatan kelompok atau lembaga dalam pengelolaan sampah plastik</t>
  </si>
  <si>
    <t>Pemerintah daerah (dinas/instansi)</t>
  </si>
  <si>
    <t>Lembaga Swadaya Masyarakat (LSM)</t>
  </si>
  <si>
    <t>Organisasi masyarakat lokal (komunitas)</t>
  </si>
  <si>
    <t>Sekolah atau Perguruan Tinggi</t>
  </si>
  <si>
    <t>Pemerintah pusat (kementerian atau lembaga)</t>
  </si>
  <si>
    <t>Ya</t>
  </si>
  <si>
    <t>Tidak selalu</t>
  </si>
  <si>
    <t xml:space="preserve">Tidak </t>
  </si>
  <si>
    <t>Pengelolaan sampah plastik secara mandiri</t>
  </si>
  <si>
    <t>Tidak pernah</t>
  </si>
  <si>
    <t>Dorongan pengelolaan sampah plastik secara mandiri</t>
  </si>
  <si>
    <t>Atas inisiatif sendiri</t>
  </si>
  <si>
    <t>Atas anjuran organisasi/LSM/Pemerintah</t>
  </si>
  <si>
    <t>Karena dapat dimanfaatkan</t>
  </si>
  <si>
    <t xml:space="preserve">Karena dapat menimbulkan dampak ekonomi </t>
  </si>
  <si>
    <t>Semakin banyak (meningkat)</t>
  </si>
  <si>
    <t>Bubu</t>
  </si>
  <si>
    <t>20 - 30</t>
  </si>
  <si>
    <t>30 - 40</t>
  </si>
  <si>
    <t>40 - 50</t>
  </si>
  <si>
    <t>Jaring insang hanyut</t>
  </si>
  <si>
    <t>Sering (4 - 6 kali dalam setahun)</t>
  </si>
  <si>
    <t>Sedang (2 - 4 kali dalam setahun)</t>
  </si>
  <si>
    <t>Jarang (0 - 2 kali dalam setahun)</t>
  </si>
  <si>
    <t>Sering (2 - 4 kali dalam tiga bulan)</t>
  </si>
  <si>
    <t>Jarang (1 - 2 kali dalam tiga bulan)</t>
  </si>
  <si>
    <t>Banyaknya sampah plastik laut dalam seminggu</t>
  </si>
  <si>
    <t>DAMPAK KERUGIAN EKONOMI SAMPAH PLASTIK LAUT TERHADAP AKTIVITAS NELAYAN SKALA KECIL DI JAKARTA</t>
  </si>
  <si>
    <t>Variabel</t>
  </si>
  <si>
    <t xml:space="preserve">Pola penangkapan </t>
  </si>
  <si>
    <t>Jarak tempuh menuju DPI</t>
  </si>
  <si>
    <t>Waktu tempuh menuju DPI</t>
  </si>
  <si>
    <t>mil</t>
  </si>
  <si>
    <t>%</t>
  </si>
  <si>
    <t xml:space="preserve">Dampak Ekonomi </t>
  </si>
  <si>
    <t>Tidak terdampak</t>
  </si>
  <si>
    <t>Terdampak</t>
  </si>
  <si>
    <t>jam</t>
  </si>
  <si>
    <t xml:space="preserve">Kategori Nelayan </t>
  </si>
  <si>
    <t>0 GT</t>
  </si>
  <si>
    <t>3 GT</t>
  </si>
  <si>
    <t>5 GT</t>
  </si>
  <si>
    <t>7 GT</t>
  </si>
  <si>
    <t>10 GT</t>
  </si>
  <si>
    <t>Bahan bakar solar</t>
  </si>
  <si>
    <t>liter</t>
  </si>
  <si>
    <t>Biaya bahan bakar solar</t>
  </si>
  <si>
    <t>Perubahan</t>
  </si>
  <si>
    <t>Rp</t>
  </si>
  <si>
    <t>Biaya logistik</t>
  </si>
  <si>
    <t>Jenis gangguan</t>
  </si>
  <si>
    <t>Propeller</t>
  </si>
  <si>
    <t xml:space="preserve">Peluang gangguan </t>
  </si>
  <si>
    <t>Resiko biaya</t>
  </si>
  <si>
    <t>Sistem Pendingin</t>
  </si>
  <si>
    <t>Alat tangkap</t>
  </si>
  <si>
    <t>Total biaya operasional</t>
  </si>
  <si>
    <t>Penerimaan</t>
  </si>
  <si>
    <t>Pendapatan</t>
  </si>
  <si>
    <t>SD</t>
  </si>
  <si>
    <t>Pola penangkapan dalam sekali trip penangkapan ikan (kondisi tidak terdampak sampah plastik laut)</t>
  </si>
  <si>
    <t>Pola penangkapan yang terjadi (kondisi terdampak sampah plastik laut)</t>
  </si>
  <si>
    <t>Perubahan pola yang terjadi sebelum terdampak dan sesudah terdampak</t>
  </si>
  <si>
    <t>Persentase perubahan pola penangkapan (%)</t>
  </si>
  <si>
    <t>Keterangan</t>
  </si>
  <si>
    <t xml:space="preserve">Patah </t>
  </si>
  <si>
    <t>Komponen biaya operasional</t>
  </si>
  <si>
    <t xml:space="preserve">Peralatan rumah tangga </t>
  </si>
  <si>
    <t>Jaring tangkap ikan</t>
  </si>
  <si>
    <t xml:space="preserve">Jenis sampah plastik </t>
  </si>
  <si>
    <t xml:space="preserve">Hasil tangkapan </t>
  </si>
  <si>
    <t>kg</t>
  </si>
  <si>
    <t>Komponen yang terganggu</t>
  </si>
  <si>
    <t xml:space="preserve">Jaring </t>
  </si>
  <si>
    <t xml:space="preserve">Kebutuhan solar </t>
  </si>
  <si>
    <t xml:space="preserve">Variabel </t>
  </si>
  <si>
    <t xml:space="preserve">7 GT </t>
  </si>
  <si>
    <t>Waktu tempuh</t>
  </si>
  <si>
    <t>Jarak tempuh</t>
  </si>
  <si>
    <t>Biaya operasional</t>
  </si>
  <si>
    <t xml:space="preserve">Penerimaan </t>
  </si>
  <si>
    <t xml:space="preserve">Pendapatan </t>
  </si>
  <si>
    <t>Persentase Perubahan Akibat Sampah Plastik Laut (dalam satu kali trip penangkapan)</t>
  </si>
  <si>
    <t xml:space="preserve"> Kategori Nelayan (dalam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</si>
</sst>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0.0"/>
    <numFmt numFmtId="165" formatCode="_-* #,##0_-;\-* #,##0_-;_-* &quot;-&quot;?_-;_-@_-"/>
    <numFmt numFmtId="166" formatCode="_-* #,##0.0_-;\-* #,##0.0_-;_-* &quot;-&quot;_-;_-@_-"/>
    <numFmt numFmtId="167" formatCode="&quot;Rp&quot;#,##0"/>
  </numFmts>
  <fonts count="14">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9"/>
      <color indexed="81"/>
      <name val="Tahoma"/>
      <family val="2"/>
    </font>
    <font>
      <b/>
      <sz val="9"/>
      <color indexed="81"/>
      <name val="Tahoma"/>
      <family val="2"/>
    </font>
    <font>
      <sz val="11"/>
      <name val="Arial"/>
      <family val="2"/>
    </font>
    <font>
      <sz val="9"/>
      <color indexed="81"/>
      <name val="Tahoma"/>
      <charset val="1"/>
    </font>
    <font>
      <b/>
      <sz val="9"/>
      <color indexed="81"/>
      <name val="Tahoma"/>
      <charset val="1"/>
    </font>
    <font>
      <b/>
      <sz val="11"/>
      <name val="Arial"/>
      <family val="2"/>
    </font>
    <font>
      <sz val="11"/>
      <color theme="1"/>
      <name val="Calibri"/>
      <family val="2"/>
      <scheme val="minor"/>
    </font>
    <font>
      <sz val="11"/>
      <color theme="1"/>
      <name val="Aro"/>
    </font>
    <font>
      <b/>
      <sz val="11"/>
      <color theme="1"/>
      <name val="R\"/>
    </font>
    <font>
      <i/>
      <sz val="11"/>
      <color theme="1"/>
      <name val="Arial"/>
      <family val="2"/>
    </font>
  </fonts>
  <fills count="8">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rgb="FF92D050"/>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1" fontId="10" fillId="0" borderId="0" applyFont="0" applyFill="0" applyBorder="0" applyAlignment="0" applyProtection="0"/>
  </cellStyleXfs>
  <cellXfs count="236">
    <xf numFmtId="0" fontId="0" fillId="0" borderId="0" xfId="0"/>
    <xf numFmtId="0" fontId="3" fillId="0" borderId="0" xfId="0" applyFont="1"/>
    <xf numFmtId="0" fontId="3" fillId="3" borderId="1" xfId="0" applyFont="1" applyFill="1" applyBorder="1" applyAlignment="1">
      <alignment vertical="top" wrapText="1"/>
    </xf>
    <xf numFmtId="0" fontId="3" fillId="3" borderId="1" xfId="0" applyFont="1" applyFill="1" applyBorder="1" applyAlignment="1">
      <alignment horizontal="left" vertical="top" wrapText="1"/>
    </xf>
    <xf numFmtId="0" fontId="0" fillId="0" borderId="0" xfId="0" applyAlignment="1">
      <alignment horizontal="center"/>
    </xf>
    <xf numFmtId="0" fontId="2" fillId="2"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xf numFmtId="0" fontId="0" fillId="4" borderId="1" xfId="0" applyFill="1" applyBorder="1"/>
    <xf numFmtId="0" fontId="3" fillId="4" borderId="1" xfId="0" applyFont="1" applyFill="1" applyBorder="1"/>
    <xf numFmtId="0" fontId="6" fillId="0" borderId="1" xfId="0" applyFont="1" applyBorder="1"/>
    <xf numFmtId="0" fontId="3" fillId="2" borderId="1" xfId="0" applyFont="1" applyFill="1" applyBorder="1" applyAlignment="1">
      <alignment horizontal="center"/>
    </xf>
    <xf numFmtId="164" fontId="2" fillId="0" borderId="1" xfId="0" applyNumberFormat="1" applyFont="1" applyBorder="1" applyAlignment="1">
      <alignment horizontal="center"/>
    </xf>
    <xf numFmtId="0" fontId="3" fillId="4" borderId="1" xfId="0" applyFont="1" applyFill="1" applyBorder="1" applyAlignment="1">
      <alignment horizontal="center"/>
    </xf>
    <xf numFmtId="164" fontId="3" fillId="4" borderId="1" xfId="0" applyNumberFormat="1" applyFont="1" applyFill="1" applyBorder="1" applyAlignment="1">
      <alignment horizontal="center"/>
    </xf>
    <xf numFmtId="0" fontId="1" fillId="5" borderId="1" xfId="0" applyFont="1" applyFill="1" applyBorder="1"/>
    <xf numFmtId="0" fontId="3" fillId="5" borderId="1" xfId="0" applyFont="1" applyFill="1" applyBorder="1"/>
    <xf numFmtId="0" fontId="3" fillId="5" borderId="1" xfId="0" applyFont="1" applyFill="1" applyBorder="1" applyAlignment="1">
      <alignment horizontal="center"/>
    </xf>
    <xf numFmtId="0" fontId="9" fillId="5" borderId="1" xfId="0" applyFont="1" applyFill="1" applyBorder="1" applyAlignment="1">
      <alignment horizontal="center"/>
    </xf>
    <xf numFmtId="0" fontId="3" fillId="0" borderId="1" xfId="0" applyFont="1" applyBorder="1" applyAlignment="1">
      <alignment horizontal="center"/>
    </xf>
    <xf numFmtId="0" fontId="3" fillId="5" borderId="2" xfId="0" applyFont="1" applyFill="1" applyBorder="1" applyAlignment="1">
      <alignment horizontal="center"/>
    </xf>
    <xf numFmtId="0" fontId="3" fillId="0" borderId="2" xfId="0" applyFont="1" applyBorder="1" applyAlignment="1">
      <alignment horizontal="center"/>
    </xf>
    <xf numFmtId="1" fontId="3" fillId="5" borderId="1" xfId="0" applyNumberFormat="1" applyFont="1" applyFill="1" applyBorder="1" applyAlignment="1">
      <alignment horizontal="center"/>
    </xf>
    <xf numFmtId="1" fontId="3" fillId="5" borderId="3" xfId="0" applyNumberFormat="1" applyFont="1" applyFill="1" applyBorder="1"/>
    <xf numFmtId="1" fontId="3" fillId="4" borderId="1" xfId="0" applyNumberFormat="1" applyFont="1" applyFill="1" applyBorder="1" applyAlignment="1">
      <alignment horizontal="center"/>
    </xf>
    <xf numFmtId="0" fontId="3" fillId="0" borderId="1" xfId="0" applyFont="1" applyFill="1" applyBorder="1" applyAlignment="1">
      <alignment horizontal="center"/>
    </xf>
    <xf numFmtId="41" fontId="2" fillId="0" borderId="1" xfId="1" applyFont="1" applyBorder="1" applyAlignment="1">
      <alignment horizontal="right"/>
    </xf>
    <xf numFmtId="0" fontId="2" fillId="0" borderId="1" xfId="0" applyFont="1" applyBorder="1" applyAlignment="1">
      <alignment horizontal="center" vertical="center"/>
    </xf>
    <xf numFmtId="41" fontId="2" fillId="0" borderId="1" xfId="1" applyFont="1" applyBorder="1"/>
    <xf numFmtId="165" fontId="2" fillId="0" borderId="1" xfId="0" applyNumberFormat="1" applyFont="1" applyBorder="1" applyAlignment="1">
      <alignment horizontal="right"/>
    </xf>
    <xf numFmtId="165" fontId="2" fillId="0" borderId="1" xfId="0" applyNumberFormat="1" applyFont="1" applyBorder="1"/>
    <xf numFmtId="41" fontId="2" fillId="0" borderId="1" xfId="0" applyNumberFormat="1" applyFont="1" applyBorder="1"/>
    <xf numFmtId="0" fontId="11" fillId="0" borderId="1" xfId="0" applyFont="1" applyBorder="1" applyAlignment="1">
      <alignment horizontal="center"/>
    </xf>
    <xf numFmtId="164" fontId="11" fillId="0" borderId="1" xfId="0" applyNumberFormat="1" applyFont="1" applyBorder="1" applyAlignment="1">
      <alignment horizontal="center"/>
    </xf>
    <xf numFmtId="41" fontId="2" fillId="0" borderId="1" xfId="1" applyFont="1" applyBorder="1" applyAlignment="1">
      <alignment horizontal="center"/>
    </xf>
    <xf numFmtId="0" fontId="0" fillId="6" borderId="1" xfId="0" applyFill="1" applyBorder="1"/>
    <xf numFmtId="0" fontId="3" fillId="6" borderId="1" xfId="0" applyFont="1" applyFill="1" applyBorder="1" applyAlignment="1">
      <alignment horizontal="center"/>
    </xf>
    <xf numFmtId="41" fontId="3" fillId="6" borderId="1" xfId="1" applyFont="1" applyFill="1" applyBorder="1" applyAlignment="1">
      <alignment horizontal="center"/>
    </xf>
    <xf numFmtId="0" fontId="1" fillId="6" borderId="1" xfId="0" applyFont="1" applyFill="1" applyBorder="1" applyAlignment="1">
      <alignment horizontal="center"/>
    </xf>
    <xf numFmtId="1" fontId="3" fillId="6" borderId="1" xfId="0" applyNumberFormat="1" applyFont="1" applyFill="1" applyBorder="1" applyAlignment="1">
      <alignment horizontal="center"/>
    </xf>
    <xf numFmtId="164" fontId="3" fillId="6" borderId="1" xfId="0" applyNumberFormat="1" applyFont="1" applyFill="1" applyBorder="1" applyAlignment="1">
      <alignment horizontal="center"/>
    </xf>
    <xf numFmtId="166" fontId="3" fillId="6" borderId="1" xfId="1" applyNumberFormat="1" applyFont="1" applyFill="1" applyBorder="1"/>
    <xf numFmtId="41" fontId="3" fillId="6" borderId="1" xfId="1" applyFont="1" applyFill="1" applyBorder="1"/>
    <xf numFmtId="166" fontId="3" fillId="6" borderId="1" xfId="1" applyNumberFormat="1" applyFont="1" applyFill="1" applyBorder="1" applyAlignment="1">
      <alignment horizontal="left" vertical="center"/>
    </xf>
    <xf numFmtId="41" fontId="3" fillId="6" borderId="1" xfId="0" applyNumberFormat="1" applyFont="1" applyFill="1" applyBorder="1"/>
    <xf numFmtId="41" fontId="2" fillId="6" borderId="1" xfId="0" applyNumberFormat="1" applyFont="1" applyFill="1" applyBorder="1" applyAlignment="1">
      <alignment horizontal="left"/>
    </xf>
    <xf numFmtId="0" fontId="3" fillId="6" borderId="1" xfId="0" applyFont="1" applyFill="1" applyBorder="1"/>
    <xf numFmtId="0" fontId="1" fillId="6" borderId="1" xfId="0" applyFont="1" applyFill="1" applyBorder="1" applyAlignment="1">
      <alignment horizontal="left"/>
    </xf>
    <xf numFmtId="41" fontId="3" fillId="6" borderId="1" xfId="1" applyFont="1" applyFill="1" applyBorder="1" applyAlignment="1">
      <alignment horizontal="right"/>
    </xf>
    <xf numFmtId="165" fontId="3" fillId="6" borderId="1" xfId="0" applyNumberFormat="1" applyFont="1" applyFill="1" applyBorder="1" applyAlignment="1">
      <alignment horizontal="center"/>
    </xf>
    <xf numFmtId="166" fontId="3" fillId="6" borderId="1" xfId="0" applyNumberFormat="1" applyFont="1" applyFill="1" applyBorder="1" applyAlignment="1">
      <alignment horizontal="center"/>
    </xf>
    <xf numFmtId="166" fontId="3" fillId="6" borderId="1" xfId="0" applyNumberFormat="1" applyFont="1" applyFill="1" applyBorder="1"/>
    <xf numFmtId="166" fontId="3" fillId="6" borderId="1" xfId="1" applyNumberFormat="1" applyFont="1" applyFill="1" applyBorder="1" applyAlignment="1">
      <alignment horizontal="center"/>
    </xf>
    <xf numFmtId="0" fontId="2" fillId="0" borderId="1" xfId="0" applyFont="1" applyBorder="1" applyAlignment="1">
      <alignment vertical="center"/>
    </xf>
    <xf numFmtId="0" fontId="2" fillId="0" borderId="1" xfId="0" applyFont="1" applyFill="1" applyBorder="1" applyAlignment="1">
      <alignment vertical="center"/>
    </xf>
    <xf numFmtId="16" fontId="0" fillId="0" borderId="0" xfId="0" applyNumberFormat="1"/>
    <xf numFmtId="0" fontId="2" fillId="0" borderId="5" xfId="0" applyFont="1" applyFill="1" applyBorder="1" applyAlignment="1">
      <alignment vertical="center"/>
    </xf>
    <xf numFmtId="49" fontId="2" fillId="0" borderId="1" xfId="0" applyNumberFormat="1" applyFont="1" applyBorder="1" applyAlignment="1">
      <alignment vertical="center"/>
    </xf>
    <xf numFmtId="49" fontId="2" fillId="0" borderId="1" xfId="0" applyNumberFormat="1" applyFont="1" applyBorder="1"/>
    <xf numFmtId="49"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top"/>
    </xf>
    <xf numFmtId="0" fontId="3" fillId="7" borderId="1" xfId="0" applyFont="1" applyFill="1" applyBorder="1" applyAlignment="1">
      <alignment horizontal="center" vertical="top"/>
    </xf>
    <xf numFmtId="0" fontId="3" fillId="7" borderId="1" xfId="0" applyFont="1" applyFill="1" applyBorder="1" applyAlignment="1">
      <alignment vertical="top" wrapText="1"/>
    </xf>
    <xf numFmtId="0" fontId="9" fillId="7" borderId="1" xfId="0" applyFont="1" applyFill="1" applyBorder="1" applyAlignment="1">
      <alignment vertical="top" wrapText="1"/>
    </xf>
    <xf numFmtId="0" fontId="3" fillId="7" borderId="1" xfId="0" applyFont="1" applyFill="1" applyBorder="1" applyAlignment="1">
      <alignment vertical="top"/>
    </xf>
    <xf numFmtId="0" fontId="3" fillId="7" borderId="1" xfId="0" applyFont="1" applyFill="1" applyBorder="1" applyAlignment="1">
      <alignment horizontal="left" vertical="top" wrapText="1"/>
    </xf>
    <xf numFmtId="0" fontId="2" fillId="0" borderId="1" xfId="0" applyFont="1" applyFill="1" applyBorder="1" applyAlignment="1">
      <alignment wrapText="1"/>
    </xf>
    <xf numFmtId="0" fontId="2" fillId="0" borderId="1" xfId="0" applyFont="1" applyFill="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0" borderId="1" xfId="0" applyFont="1" applyBorder="1" applyAlignment="1">
      <alignment horizontal="left" vertical="top" wrapText="1"/>
    </xf>
    <xf numFmtId="49" fontId="13" fillId="0" borderId="1" xfId="0" applyNumberFormat="1" applyFont="1" applyFill="1" applyBorder="1" applyAlignment="1">
      <alignment vertical="center"/>
    </xf>
    <xf numFmtId="0" fontId="2" fillId="0" borderId="5" xfId="0" applyFont="1" applyBorder="1" applyAlignment="1">
      <alignment horizontal="center" vertical="center"/>
    </xf>
    <xf numFmtId="1" fontId="3" fillId="5" borderId="2" xfId="0" applyNumberFormat="1" applyFont="1" applyFill="1" applyBorder="1" applyAlignment="1">
      <alignment horizontal="center"/>
    </xf>
    <xf numFmtId="0" fontId="3" fillId="5" borderId="3" xfId="0" applyFont="1" applyFill="1" applyBorder="1" applyAlignment="1">
      <alignment horizontal="center"/>
    </xf>
    <xf numFmtId="1" fontId="2" fillId="0" borderId="1" xfId="0" applyNumberFormat="1" applyFont="1" applyBorder="1" applyAlignment="1">
      <alignment horizontal="center" vertical="top"/>
    </xf>
    <xf numFmtId="0" fontId="3" fillId="3" borderId="1" xfId="0" applyFont="1" applyFill="1" applyBorder="1" applyAlignment="1">
      <alignment horizontal="center"/>
    </xf>
    <xf numFmtId="166" fontId="2" fillId="0" borderId="1" xfId="1" applyNumberFormat="1" applyFont="1" applyBorder="1" applyAlignment="1">
      <alignment horizontal="right"/>
    </xf>
    <xf numFmtId="0" fontId="2" fillId="5" borderId="1" xfId="0" applyFont="1" applyFill="1" applyBorder="1" applyAlignment="1">
      <alignment horizontal="center"/>
    </xf>
    <xf numFmtId="166" fontId="2" fillId="0" borderId="1" xfId="1" applyNumberFormat="1" applyFont="1" applyBorder="1" applyAlignment="1">
      <alignment horizontal="center"/>
    </xf>
    <xf numFmtId="166" fontId="3" fillId="6" borderId="1" xfId="1" applyNumberFormat="1" applyFont="1" applyFill="1" applyBorder="1" applyAlignment="1">
      <alignment horizontal="right"/>
    </xf>
    <xf numFmtId="164" fontId="3" fillId="6" borderId="1" xfId="0" applyNumberFormat="1" applyFont="1" applyFill="1" applyBorder="1" applyAlignment="1">
      <alignment horizontal="right"/>
    </xf>
    <xf numFmtId="0" fontId="3" fillId="6" borderId="1" xfId="0" applyFont="1" applyFill="1" applyBorder="1" applyAlignment="1">
      <alignment horizontal="right"/>
    </xf>
    <xf numFmtId="164" fontId="3" fillId="6" borderId="1" xfId="0" applyNumberFormat="1" applyFont="1" applyFill="1" applyBorder="1"/>
    <xf numFmtId="0" fontId="3" fillId="6" borderId="1" xfId="1" applyNumberFormat="1" applyFont="1" applyFill="1" applyBorder="1"/>
    <xf numFmtId="166" fontId="3" fillId="6" borderId="1" xfId="1" applyNumberFormat="1" applyFont="1" applyFill="1" applyBorder="1" applyAlignment="1">
      <alignment horizontal="right" vertical="center"/>
    </xf>
    <xf numFmtId="164" fontId="3" fillId="6" borderId="1" xfId="1" applyNumberFormat="1" applyFont="1" applyFill="1" applyBorder="1"/>
    <xf numFmtId="0" fontId="2" fillId="0" borderId="1" xfId="0" applyFont="1" applyBorder="1" applyAlignment="1">
      <alignment horizontal="right"/>
    </xf>
    <xf numFmtId="41" fontId="2" fillId="0" borderId="1" xfId="0" applyNumberFormat="1" applyFont="1" applyBorder="1" applyAlignment="1">
      <alignment horizontal="center"/>
    </xf>
    <xf numFmtId="164" fontId="3" fillId="6" borderId="1" xfId="0" applyNumberFormat="1" applyFont="1" applyFill="1" applyBorder="1" applyAlignment="1"/>
    <xf numFmtId="0" fontId="3" fillId="6" borderId="1" xfId="0" applyFont="1" applyFill="1" applyBorder="1" applyAlignment="1"/>
    <xf numFmtId="166" fontId="2" fillId="0" borderId="1" xfId="1" applyNumberFormat="1" applyFont="1" applyBorder="1"/>
    <xf numFmtId="164" fontId="2" fillId="0" borderId="1" xfId="1" applyNumberFormat="1" applyFont="1" applyBorder="1"/>
    <xf numFmtId="164" fontId="3" fillId="6" borderId="1" xfId="1" applyNumberFormat="1" applyFont="1" applyFill="1" applyBorder="1" applyAlignment="1">
      <alignment horizontal="right"/>
    </xf>
    <xf numFmtId="164" fontId="0" fillId="6" borderId="1" xfId="0" applyNumberFormat="1" applyFill="1" applyBorder="1"/>
    <xf numFmtId="0" fontId="1" fillId="6" borderId="1" xfId="0" applyFont="1" applyFill="1" applyBorder="1" applyAlignment="1">
      <alignment horizontal="right"/>
    </xf>
    <xf numFmtId="0" fontId="1" fillId="6" borderId="1" xfId="0" applyFont="1" applyFill="1" applyBorder="1"/>
    <xf numFmtId="1" fontId="3" fillId="6" borderId="1" xfId="0" applyNumberFormat="1" applyFont="1" applyFill="1" applyBorder="1" applyAlignment="1">
      <alignment horizontal="right"/>
    </xf>
    <xf numFmtId="166" fontId="3" fillId="6" borderId="1" xfId="1" applyNumberFormat="1" applyFont="1" applyFill="1" applyBorder="1" applyAlignment="1">
      <alignment horizontal="left" indent="1"/>
    </xf>
    <xf numFmtId="0" fontId="12" fillId="6" borderId="1" xfId="0" applyFont="1" applyFill="1" applyBorder="1" applyAlignment="1">
      <alignment horizontal="right"/>
    </xf>
    <xf numFmtId="164" fontId="12" fillId="6" borderId="1" xfId="0" applyNumberFormat="1" applyFont="1" applyFill="1" applyBorder="1" applyAlignment="1">
      <alignment horizontal="right"/>
    </xf>
    <xf numFmtId="166" fontId="12" fillId="6" borderId="1" xfId="1" applyNumberFormat="1" applyFont="1" applyFill="1" applyBorder="1" applyAlignment="1">
      <alignment horizontal="right"/>
    </xf>
    <xf numFmtId="166" fontId="3" fillId="6" borderId="1" xfId="1" applyNumberFormat="1" applyFont="1" applyFill="1" applyBorder="1" applyAlignment="1">
      <alignment horizontal="right" indent="2"/>
    </xf>
    <xf numFmtId="0" fontId="1" fillId="6" borderId="1" xfId="0" applyFont="1" applyFill="1" applyBorder="1" applyAlignment="1"/>
    <xf numFmtId="164" fontId="2" fillId="0" borderId="1" xfId="0" applyNumberFormat="1" applyFont="1" applyBorder="1"/>
    <xf numFmtId="41" fontId="2" fillId="0" borderId="1" xfId="1" applyFont="1" applyBorder="1" applyAlignment="1"/>
    <xf numFmtId="164" fontId="2" fillId="0" borderId="1" xfId="0" applyNumberFormat="1" applyFont="1" applyBorder="1" applyAlignment="1">
      <alignment horizontal="right"/>
    </xf>
    <xf numFmtId="164" fontId="2" fillId="0" borderId="1" xfId="1" applyNumberFormat="1" applyFont="1" applyBorder="1" applyAlignment="1">
      <alignment horizontal="right"/>
    </xf>
    <xf numFmtId="0" fontId="6" fillId="0" borderId="1" xfId="0" applyFont="1" applyBorder="1" applyAlignment="1">
      <alignment horizontal="right"/>
    </xf>
    <xf numFmtId="164" fontId="6" fillId="0" borderId="1" xfId="0" applyNumberFormat="1" applyFont="1" applyBorder="1"/>
    <xf numFmtId="1" fontId="3" fillId="6" borderId="1" xfId="1" applyNumberFormat="1" applyFont="1" applyFill="1" applyBorder="1"/>
    <xf numFmtId="0" fontId="0" fillId="6" borderId="1" xfId="0" applyFill="1" applyBorder="1" applyAlignment="1">
      <alignment horizontal="center"/>
    </xf>
    <xf numFmtId="0" fontId="0" fillId="5" borderId="0" xfId="0" applyFill="1"/>
    <xf numFmtId="166" fontId="2" fillId="0" borderId="1" xfId="1" applyNumberFormat="1" applyFont="1" applyBorder="1" applyAlignment="1">
      <alignment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right" vertical="center"/>
    </xf>
    <xf numFmtId="0" fontId="0" fillId="0" borderId="0" xfId="0" applyFill="1"/>
    <xf numFmtId="0" fontId="2" fillId="5" borderId="1" xfId="0" applyFont="1" applyFill="1" applyBorder="1" applyAlignment="1">
      <alignment horizontal="lef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166" fontId="2" fillId="5" borderId="1" xfId="1" applyNumberFormat="1" applyFont="1" applyFill="1" applyBorder="1"/>
    <xf numFmtId="166" fontId="2" fillId="5" borderId="1" xfId="1" applyNumberFormat="1" applyFont="1" applyFill="1" applyBorder="1" applyAlignment="1">
      <alignment horizontal="center"/>
    </xf>
    <xf numFmtId="166" fontId="3" fillId="3" borderId="1" xfId="1" applyNumberFormat="1"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0" xfId="0" applyFont="1" applyFill="1" applyBorder="1" applyAlignment="1">
      <alignment horizontal="center"/>
    </xf>
    <xf numFmtId="166" fontId="2" fillId="0" borderId="1" xfId="1" applyNumberFormat="1" applyFont="1" applyFill="1" applyBorder="1" applyAlignment="1">
      <alignment horizontal="right" vertical="center"/>
    </xf>
    <xf numFmtId="166" fontId="2" fillId="0" borderId="2" xfId="1" applyNumberFormat="1" applyFont="1" applyFill="1" applyBorder="1" applyAlignment="1">
      <alignment horizontal="right" vertical="center"/>
    </xf>
    <xf numFmtId="166" fontId="2" fillId="0" borderId="3" xfId="1" applyNumberFormat="1" applyFont="1" applyFill="1" applyBorder="1" applyAlignment="1">
      <alignment horizontal="right"/>
    </xf>
    <xf numFmtId="166" fontId="2" fillId="0" borderId="1" xfId="1" applyNumberFormat="1" applyFont="1" applyFill="1" applyBorder="1"/>
    <xf numFmtId="0" fontId="3" fillId="0" borderId="0" xfId="0" applyFont="1" applyFill="1"/>
    <xf numFmtId="0" fontId="2" fillId="0" borderId="1" xfId="0" applyFont="1" applyFill="1" applyBorder="1" applyAlignment="1">
      <alignment horizontal="right" vertical="center"/>
    </xf>
    <xf numFmtId="41" fontId="2" fillId="0" borderId="1" xfId="0" applyNumberFormat="1" applyFont="1" applyFill="1" applyBorder="1" applyAlignment="1">
      <alignment horizontal="right" vertical="center"/>
    </xf>
    <xf numFmtId="0" fontId="2" fillId="0" borderId="1" xfId="1" applyNumberFormat="1" applyFont="1" applyFill="1" applyBorder="1" applyAlignment="1">
      <alignment horizontal="right" vertical="center"/>
    </xf>
    <xf numFmtId="0" fontId="2" fillId="0" borderId="1" xfId="0" applyFont="1" applyFill="1" applyBorder="1" applyAlignment="1">
      <alignment horizontal="right" vertical="center" wrapText="1"/>
    </xf>
    <xf numFmtId="2" fontId="2" fillId="0" borderId="1" xfId="0" applyNumberFormat="1" applyFont="1" applyFill="1" applyBorder="1" applyAlignment="1">
      <alignment horizontal="right" vertical="center"/>
    </xf>
    <xf numFmtId="1" fontId="2" fillId="0" borderId="1" xfId="1" applyNumberFormat="1" applyFont="1" applyFill="1" applyBorder="1" applyAlignment="1">
      <alignment horizontal="right" vertical="center"/>
    </xf>
    <xf numFmtId="166" fontId="2" fillId="0" borderId="1" xfId="1" applyNumberFormat="1" applyFont="1" applyFill="1" applyBorder="1" applyAlignment="1">
      <alignment vertical="center"/>
    </xf>
    <xf numFmtId="164" fontId="2" fillId="0" borderId="1" xfId="0" applyNumberFormat="1" applyFont="1" applyFill="1" applyBorder="1" applyAlignment="1">
      <alignment vertical="center"/>
    </xf>
    <xf numFmtId="166" fontId="2" fillId="0" borderId="1" xfId="0" applyNumberFormat="1" applyFont="1" applyFill="1" applyBorder="1" applyAlignment="1">
      <alignment horizontal="right" vertical="center"/>
    </xf>
    <xf numFmtId="1" fontId="2" fillId="0" borderId="1" xfId="0" applyNumberFormat="1" applyFont="1" applyFill="1" applyBorder="1" applyAlignment="1">
      <alignment horizontal="right" vertical="center"/>
    </xf>
    <xf numFmtId="166" fontId="2" fillId="0" borderId="1" xfId="0" applyNumberFormat="1" applyFont="1" applyFill="1" applyBorder="1" applyAlignment="1">
      <alignment vertical="center"/>
    </xf>
    <xf numFmtId="1" fontId="2" fillId="0" borderId="2" xfId="1" applyNumberFormat="1" applyFont="1" applyFill="1" applyBorder="1" applyAlignment="1">
      <alignment horizontal="right" vertical="center"/>
    </xf>
    <xf numFmtId="166" fontId="2" fillId="0" borderId="2" xfId="1" applyNumberFormat="1" applyFont="1" applyFill="1" applyBorder="1" applyAlignment="1">
      <alignment vertical="center"/>
    </xf>
    <xf numFmtId="164" fontId="2" fillId="0" borderId="2" xfId="0" applyNumberFormat="1" applyFont="1" applyFill="1" applyBorder="1" applyAlignment="1">
      <alignment vertical="center"/>
    </xf>
    <xf numFmtId="0" fontId="2" fillId="0" borderId="2" xfId="0" applyFont="1" applyFill="1" applyBorder="1" applyAlignment="1">
      <alignment vertical="center"/>
    </xf>
    <xf numFmtId="166" fontId="2" fillId="0" borderId="2" xfId="0" applyNumberFormat="1" applyFont="1" applyFill="1" applyBorder="1" applyAlignment="1">
      <alignment horizontal="right" vertical="center"/>
    </xf>
    <xf numFmtId="1" fontId="2" fillId="0" borderId="2" xfId="0" applyNumberFormat="1" applyFont="1" applyFill="1" applyBorder="1" applyAlignment="1">
      <alignment horizontal="right" vertical="center"/>
    </xf>
    <xf numFmtId="166" fontId="2" fillId="0" borderId="2" xfId="0" applyNumberFormat="1" applyFont="1" applyFill="1" applyBorder="1" applyAlignment="1">
      <alignment vertical="center"/>
    </xf>
    <xf numFmtId="0" fontId="3" fillId="0" borderId="0" xfId="0" applyFont="1" applyFill="1" applyBorder="1"/>
    <xf numFmtId="166" fontId="2" fillId="0" borderId="1" xfId="1" applyNumberFormat="1" applyFont="1" applyFill="1" applyBorder="1" applyAlignment="1">
      <alignment horizontal="left" vertical="center"/>
    </xf>
    <xf numFmtId="0" fontId="0" fillId="0" borderId="0" xfId="0" applyFill="1" applyBorder="1"/>
    <xf numFmtId="166" fontId="2" fillId="0" borderId="3" xfId="1" applyNumberFormat="1" applyFont="1" applyFill="1" applyBorder="1" applyAlignment="1">
      <alignment horizontal="right" vertical="center"/>
    </xf>
    <xf numFmtId="1" fontId="2" fillId="0" borderId="3" xfId="1" applyNumberFormat="1" applyFont="1" applyFill="1" applyBorder="1" applyAlignment="1">
      <alignment horizontal="right" vertical="center"/>
    </xf>
    <xf numFmtId="166" fontId="2" fillId="0" borderId="3" xfId="1" applyNumberFormat="1" applyFont="1" applyFill="1" applyBorder="1"/>
    <xf numFmtId="1" fontId="2" fillId="0" borderId="3" xfId="1" applyNumberFormat="1" applyFont="1" applyFill="1" applyBorder="1"/>
    <xf numFmtId="1" fontId="2" fillId="0" borderId="3" xfId="1" applyNumberFormat="1" applyFont="1" applyFill="1" applyBorder="1" applyAlignment="1">
      <alignment horizontal="right"/>
    </xf>
    <xf numFmtId="166" fontId="2" fillId="0" borderId="3" xfId="0" applyNumberFormat="1" applyFont="1" applyFill="1" applyBorder="1" applyAlignment="1">
      <alignment horizontal="right"/>
    </xf>
    <xf numFmtId="166" fontId="2" fillId="0" borderId="1" xfId="1" applyNumberFormat="1" applyFont="1" applyFill="1" applyBorder="1" applyAlignment="1">
      <alignment horizontal="center"/>
    </xf>
    <xf numFmtId="1" fontId="2" fillId="0" borderId="1" xfId="1" applyNumberFormat="1" applyFont="1" applyFill="1" applyBorder="1"/>
    <xf numFmtId="1" fontId="2" fillId="0" borderId="1" xfId="1" applyNumberFormat="1" applyFont="1" applyFill="1" applyBorder="1" applyAlignment="1">
      <alignment vertical="center"/>
    </xf>
    <xf numFmtId="0" fontId="2" fillId="0" borderId="1" xfId="0" applyFont="1" applyFill="1" applyBorder="1" applyAlignment="1">
      <alignment horizontal="center" vertical="center" wrapText="1"/>
    </xf>
    <xf numFmtId="166" fontId="0" fillId="6" borderId="1" xfId="0" applyNumberFormat="1" applyFill="1" applyBorder="1"/>
    <xf numFmtId="1" fontId="2" fillId="0" borderId="1" xfId="1" applyNumberFormat="1" applyFont="1" applyBorder="1"/>
    <xf numFmtId="1" fontId="2" fillId="0" borderId="1" xfId="1" applyNumberFormat="1" applyFont="1" applyBorder="1" applyAlignment="1">
      <alignment vertical="center"/>
    </xf>
    <xf numFmtId="1" fontId="3" fillId="6" borderId="1" xfId="0" applyNumberFormat="1" applyFont="1" applyFill="1" applyBorder="1"/>
    <xf numFmtId="0" fontId="2" fillId="5" borderId="5" xfId="0" applyFont="1" applyFill="1" applyBorder="1" applyAlignment="1">
      <alignment horizontal="left" vertical="center" wrapText="1"/>
    </xf>
    <xf numFmtId="0" fontId="2" fillId="0" borderId="0" xfId="0" applyFont="1" applyFill="1" applyBorder="1"/>
    <xf numFmtId="0" fontId="2" fillId="0" borderId="1" xfId="0" applyFont="1" applyFill="1" applyBorder="1"/>
    <xf numFmtId="164" fontId="2" fillId="0" borderId="1" xfId="0" applyNumberFormat="1" applyFont="1" applyFill="1" applyBorder="1" applyAlignment="1">
      <alignment horizontal="center"/>
    </xf>
    <xf numFmtId="164" fontId="2" fillId="5" borderId="1" xfId="0" applyNumberFormat="1" applyFont="1" applyFill="1" applyBorder="1" applyAlignment="1">
      <alignment horizontal="center"/>
    </xf>
    <xf numFmtId="166" fontId="2" fillId="5" borderId="1" xfId="1" applyNumberFormat="1" applyFont="1" applyFill="1" applyBorder="1" applyAlignment="1">
      <alignment horizontal="right" vertical="center"/>
    </xf>
    <xf numFmtId="164" fontId="2" fillId="5" borderId="1" xfId="0" applyNumberFormat="1" applyFont="1" applyFill="1" applyBorder="1" applyAlignment="1">
      <alignment horizontal="right" vertical="center"/>
    </xf>
    <xf numFmtId="41" fontId="2" fillId="5" borderId="1" xfId="0" applyNumberFormat="1" applyFont="1" applyFill="1" applyBorder="1" applyAlignment="1">
      <alignment horizontal="right" vertical="center"/>
    </xf>
    <xf numFmtId="166" fontId="2" fillId="5" borderId="1" xfId="0" applyNumberFormat="1" applyFont="1" applyFill="1" applyBorder="1" applyAlignment="1">
      <alignment vertical="center"/>
    </xf>
    <xf numFmtId="1" fontId="2" fillId="5" borderId="1" xfId="0" applyNumberFormat="1" applyFont="1" applyFill="1" applyBorder="1" applyAlignment="1">
      <alignment vertical="center"/>
    </xf>
    <xf numFmtId="164" fontId="2" fillId="5" borderId="1" xfId="1" applyNumberFormat="1" applyFont="1" applyFill="1" applyBorder="1" applyAlignment="1">
      <alignment horizontal="right" vertical="center"/>
    </xf>
    <xf numFmtId="166" fontId="2" fillId="5" borderId="1" xfId="0" applyNumberFormat="1" applyFont="1" applyFill="1" applyBorder="1" applyAlignment="1">
      <alignment horizontal="right" vertical="center"/>
    </xf>
    <xf numFmtId="164" fontId="2" fillId="5" borderId="1" xfId="1" applyNumberFormat="1" applyFont="1" applyFill="1" applyBorder="1"/>
    <xf numFmtId="41" fontId="2" fillId="5" borderId="1" xfId="1" applyFont="1" applyFill="1" applyBorder="1" applyAlignment="1">
      <alignment horizontal="right" vertical="center"/>
    </xf>
    <xf numFmtId="0" fontId="3" fillId="3" borderId="2"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3" xfId="0" applyFont="1" applyFill="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NumberFormat="1" applyFont="1" applyBorder="1" applyAlignment="1">
      <alignment horizontal="left" vertical="center"/>
    </xf>
    <xf numFmtId="167" fontId="0"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167" fontId="2" fillId="0" borderId="5" xfId="0" applyNumberFormat="1"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6" borderId="5" xfId="0" applyFont="1" applyFill="1" applyBorder="1" applyAlignment="1">
      <alignment horizontal="center"/>
    </xf>
    <xf numFmtId="0" fontId="2" fillId="6" borderId="7" xfId="0" applyFont="1" applyFill="1" applyBorder="1" applyAlignment="1">
      <alignment horizontal="center"/>
    </xf>
    <xf numFmtId="0" fontId="2" fillId="6" borderId="6" xfId="0" applyFont="1" applyFill="1" applyBorder="1" applyAlignment="1">
      <alignment horizontal="center"/>
    </xf>
    <xf numFmtId="0" fontId="2" fillId="6" borderId="5" xfId="0" applyFont="1" applyFill="1" applyBorder="1" applyAlignment="1">
      <alignment horizontal="center" wrapText="1"/>
    </xf>
    <xf numFmtId="0" fontId="2" fillId="6" borderId="7" xfId="0" applyFont="1" applyFill="1" applyBorder="1" applyAlignment="1">
      <alignment horizontal="center" wrapText="1"/>
    </xf>
    <xf numFmtId="0" fontId="2" fillId="6" borderId="6" xfId="0" applyFont="1" applyFill="1" applyBorder="1" applyAlignment="1">
      <alignment horizontal="center" wrapText="1"/>
    </xf>
    <xf numFmtId="0" fontId="3" fillId="6" borderId="5" xfId="0" applyFont="1" applyFill="1" applyBorder="1" applyAlignment="1">
      <alignment horizontal="center"/>
    </xf>
    <xf numFmtId="0" fontId="3" fillId="6" borderId="7" xfId="0" applyFont="1" applyFill="1" applyBorder="1" applyAlignment="1">
      <alignment horizontal="center"/>
    </xf>
    <xf numFmtId="0" fontId="3" fillId="6" borderId="6" xfId="0" applyFont="1" applyFill="1" applyBorder="1" applyAlignment="1">
      <alignment horizontal="center"/>
    </xf>
    <xf numFmtId="0" fontId="0" fillId="6" borderId="1" xfId="0" applyFill="1" applyBorder="1" applyAlignment="1">
      <alignment horizontal="center"/>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xf>
    <xf numFmtId="0" fontId="9" fillId="3"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3" xfId="0" applyFont="1" applyFill="1" applyBorder="1" applyAlignment="1">
      <alignment horizontal="center" vertical="top"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3" fillId="3"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3" borderId="1" xfId="0" applyFont="1" applyFill="1" applyBorder="1" applyAlignment="1">
      <alignment horizontal="center"/>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Umur nelayan responden (tahun)</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Responden'!$D$4:$D$7</c:f>
              <c:strCache>
                <c:ptCount val="4"/>
                <c:pt idx="0">
                  <c:v>20 - 30</c:v>
                </c:pt>
                <c:pt idx="1">
                  <c:v>30 - 40</c:v>
                </c:pt>
                <c:pt idx="2">
                  <c:v>40 - 50</c:v>
                </c:pt>
                <c:pt idx="3">
                  <c:v>&gt;50</c:v>
                </c:pt>
              </c:strCache>
            </c:strRef>
          </c:cat>
          <c:val>
            <c:numRef>
              <c:f>'Informasi Umum Responden'!$E$4:$E$7</c:f>
              <c:numCache>
                <c:formatCode>General</c:formatCode>
                <c:ptCount val="4"/>
                <c:pt idx="0">
                  <c:v>0</c:v>
                </c:pt>
                <c:pt idx="1">
                  <c:v>24</c:v>
                </c:pt>
                <c:pt idx="2">
                  <c:v>60</c:v>
                </c:pt>
                <c:pt idx="3">
                  <c:v>16</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2424636177324697"/>
          <c:y val="0.36094177372565273"/>
          <c:w val="0.15603110664491393"/>
          <c:h val="0.2804996979448130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Sumber sampah plastik laut</a:t>
            </a:r>
            <a:r>
              <a:rPr lang="en-US" sz="1100" b="1" baseline="0"/>
              <a:t> </a:t>
            </a:r>
            <a:endParaRPr lang="en-US" sz="1100" b="1"/>
          </a:p>
        </c:rich>
      </c:tx>
      <c:layout>
        <c:manualLayout>
          <c:xMode val="edge"/>
          <c:yMode val="edge"/>
          <c:x val="0.25162765613202465"/>
          <c:y val="5.555555555555555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Persepsi'!$C$4:$C$9</c:f>
              <c:strCache>
                <c:ptCount val="6"/>
                <c:pt idx="0">
                  <c:v>Industri skala besar (pabrik)</c:v>
                </c:pt>
                <c:pt idx="1">
                  <c:v>Industri skala kecil &amp; menengah</c:v>
                </c:pt>
                <c:pt idx="2">
                  <c:v>Rumah makan atau restoran</c:v>
                </c:pt>
                <c:pt idx="3">
                  <c:v>Wisatawan</c:v>
                </c:pt>
                <c:pt idx="4">
                  <c:v>Aktivitas perikanan</c:v>
                </c:pt>
                <c:pt idx="5">
                  <c:v>Masyarakat atau penduduk lokal</c:v>
                </c:pt>
              </c:strCache>
            </c:strRef>
          </c:cat>
          <c:val>
            <c:numRef>
              <c:f>'Pengetahuan &amp; Persepsi'!$D$4:$D$9</c:f>
              <c:numCache>
                <c:formatCode>0</c:formatCode>
                <c:ptCount val="6"/>
                <c:pt idx="0">
                  <c:v>15.32258064516129</c:v>
                </c:pt>
                <c:pt idx="1">
                  <c:v>23.387096774193548</c:v>
                </c:pt>
                <c:pt idx="2">
                  <c:v>16.93548387096774</c:v>
                </c:pt>
                <c:pt idx="3">
                  <c:v>11.29032258064516</c:v>
                </c:pt>
                <c:pt idx="4">
                  <c:v>6.4516129032258061</c:v>
                </c:pt>
                <c:pt idx="5">
                  <c:v>26.612903225806448</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0974905936919055"/>
          <c:y val="0.19839275298920969"/>
          <c:w val="0.37091169808447594"/>
          <c:h val="0.7194181977252843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Banyaknya sampah plastik laut dalam seminggu</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Persepsi'!$C$11:$C$18</c:f>
              <c:strCache>
                <c:ptCount val="8"/>
                <c:pt idx="0">
                  <c:v>0 hari</c:v>
                </c:pt>
                <c:pt idx="1">
                  <c:v>1 hari</c:v>
                </c:pt>
                <c:pt idx="2">
                  <c:v>2 hari</c:v>
                </c:pt>
                <c:pt idx="3">
                  <c:v>3 hari</c:v>
                </c:pt>
                <c:pt idx="4">
                  <c:v>4 hari</c:v>
                </c:pt>
                <c:pt idx="5">
                  <c:v>5 hari</c:v>
                </c:pt>
                <c:pt idx="6">
                  <c:v>6 hari</c:v>
                </c:pt>
                <c:pt idx="7">
                  <c:v>7 hari</c:v>
                </c:pt>
              </c:strCache>
            </c:strRef>
          </c:cat>
          <c:val>
            <c:numRef>
              <c:f>'Pengetahuan &amp; Persepsi'!$D$11:$D$18</c:f>
              <c:numCache>
                <c:formatCode>General</c:formatCode>
                <c:ptCount val="8"/>
                <c:pt idx="0">
                  <c:v>0</c:v>
                </c:pt>
                <c:pt idx="1">
                  <c:v>6</c:v>
                </c:pt>
                <c:pt idx="2">
                  <c:v>18</c:v>
                </c:pt>
                <c:pt idx="3">
                  <c:v>24</c:v>
                </c:pt>
                <c:pt idx="4">
                  <c:v>16</c:v>
                </c:pt>
                <c:pt idx="5">
                  <c:v>14.000000000000002</c:v>
                </c:pt>
                <c:pt idx="6">
                  <c:v>10</c:v>
                </c:pt>
                <c:pt idx="7">
                  <c:v>12</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6367808240837354"/>
          <c:y val="0.27477726742490516"/>
          <c:w val="0.12719795715628687"/>
          <c:h val="0.621157991898165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Kondisi sampah plastik laut (2017 -  2019)</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Persepsi'!$C$19:$C$21</c:f>
              <c:strCache>
                <c:ptCount val="3"/>
                <c:pt idx="0">
                  <c:v>Semakin banyak (meningkat)</c:v>
                </c:pt>
                <c:pt idx="1">
                  <c:v>Semakin sedikit (menurun)</c:v>
                </c:pt>
                <c:pt idx="2">
                  <c:v>Tetap (sama setiap tahun)</c:v>
                </c:pt>
              </c:strCache>
            </c:strRef>
          </c:cat>
          <c:val>
            <c:numRef>
              <c:f>'Pengetahuan &amp; Persepsi'!$D$19:$D$21</c:f>
              <c:numCache>
                <c:formatCode>General</c:formatCode>
                <c:ptCount val="3"/>
                <c:pt idx="0">
                  <c:v>56.000000000000007</c:v>
                </c:pt>
                <c:pt idx="1">
                  <c:v>6</c:v>
                </c:pt>
                <c:pt idx="2">
                  <c:v>38</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2834697429460595"/>
          <c:y val="0.34698602871928308"/>
          <c:w val="0.29839254190889286"/>
          <c:h val="0.3903680462450248"/>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Perkiraan jumlah</a:t>
            </a:r>
            <a:r>
              <a:rPr lang="en-US" sz="1100" b="1" baseline="0"/>
              <a:t> sampah plastik di pesisir laut</a:t>
            </a:r>
            <a:endParaRPr lang="en-US" sz="1100" b="1"/>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explosion val="2"/>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Persepsi'!$C$22:$C$24</c:f>
              <c:strCache>
                <c:ptCount val="3"/>
                <c:pt idx="0">
                  <c:v>Sedikit (1 - 3 sampah per m2)</c:v>
                </c:pt>
                <c:pt idx="1">
                  <c:v>Sedang (3 - 5 sampah per m2)</c:v>
                </c:pt>
                <c:pt idx="2">
                  <c:v>Banyak (&gt;5 sampah per m2)</c:v>
                </c:pt>
              </c:strCache>
            </c:strRef>
          </c:cat>
          <c:val>
            <c:numRef>
              <c:f>'Pengetahuan &amp; Persepsi'!$D$22:$D$24</c:f>
              <c:numCache>
                <c:formatCode>General</c:formatCode>
                <c:ptCount val="3"/>
                <c:pt idx="0">
                  <c:v>6</c:v>
                </c:pt>
                <c:pt idx="1">
                  <c:v>68</c:v>
                </c:pt>
                <c:pt idx="2">
                  <c:v>26</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0198653652401024"/>
          <c:y val="0.35364184959597572"/>
          <c:w val="0.33677199970754268"/>
          <c:h val="0.3751976267301607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Jenis sampah plastik laut yang meningkat</a:t>
            </a:r>
            <a:r>
              <a:rPr lang="en-US" sz="1100" b="1" baseline="0"/>
              <a:t> </a:t>
            </a:r>
          </a:p>
          <a:p>
            <a:pPr>
              <a:defRPr sz="1100" b="1"/>
            </a:pPr>
            <a:r>
              <a:rPr lang="en-US" sz="1100" b="1" baseline="0"/>
              <a:t>(2017 - 2019)</a:t>
            </a:r>
            <a:endParaRPr lang="en-US" sz="1100" b="1"/>
          </a:p>
        </c:rich>
      </c:tx>
      <c:layout>
        <c:manualLayout>
          <c:xMode val="edge"/>
          <c:yMode val="edge"/>
          <c:x val="0.15127807364328422"/>
          <c:y val="3.240740740740740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Persepsi'!$C$25:$C$30</c:f>
              <c:strCache>
                <c:ptCount val="6"/>
                <c:pt idx="0">
                  <c:v>Plastik kemasan</c:v>
                </c:pt>
                <c:pt idx="1">
                  <c:v>Botol plastik</c:v>
                </c:pt>
                <c:pt idx="2">
                  <c:v>Styrofoam</c:v>
                </c:pt>
                <c:pt idx="3">
                  <c:v>Peralatan rumah tangga</c:v>
                </c:pt>
                <c:pt idx="4">
                  <c:v>Jaring tangkap nelayan</c:v>
                </c:pt>
                <c:pt idx="5">
                  <c:v>Komponen perahu atau kapal</c:v>
                </c:pt>
              </c:strCache>
            </c:strRef>
          </c:cat>
          <c:val>
            <c:numRef>
              <c:f>'Pengetahuan &amp; Persepsi'!$D$25:$D$30</c:f>
              <c:numCache>
                <c:formatCode>General</c:formatCode>
                <c:ptCount val="6"/>
                <c:pt idx="0">
                  <c:v>28.000000000000004</c:v>
                </c:pt>
                <c:pt idx="1">
                  <c:v>18</c:v>
                </c:pt>
                <c:pt idx="2">
                  <c:v>10</c:v>
                </c:pt>
                <c:pt idx="3">
                  <c:v>14.000000000000002</c:v>
                </c:pt>
                <c:pt idx="4">
                  <c:v>26</c:v>
                </c:pt>
                <c:pt idx="5">
                  <c:v>4</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1462044630313328"/>
          <c:y val="0.21968904928550598"/>
          <c:w val="0.36546254124873395"/>
          <c:h val="0.7194181977252843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Jumlah sampah</a:t>
            </a:r>
            <a:r>
              <a:rPr lang="en-US" sz="1100" b="1" baseline="0"/>
              <a:t> plastik laut yang menurun (2017 - 2019)</a:t>
            </a:r>
            <a:endParaRPr lang="en-US" sz="1100" b="1"/>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Persepsi'!$C$31:$C$36</c:f>
              <c:strCache>
                <c:ptCount val="6"/>
                <c:pt idx="0">
                  <c:v>Plastik kemasan</c:v>
                </c:pt>
                <c:pt idx="1">
                  <c:v>Botol plastik</c:v>
                </c:pt>
                <c:pt idx="2">
                  <c:v>Styrofoam</c:v>
                </c:pt>
                <c:pt idx="3">
                  <c:v>Peralatan rumah tangga</c:v>
                </c:pt>
                <c:pt idx="4">
                  <c:v>Jaring tangkap nelayan</c:v>
                </c:pt>
                <c:pt idx="5">
                  <c:v>Komponen perahu atau kapal</c:v>
                </c:pt>
              </c:strCache>
            </c:strRef>
          </c:cat>
          <c:val>
            <c:numRef>
              <c:f>'Pengetahuan &amp; Persepsi'!$D$31:$D$36</c:f>
              <c:numCache>
                <c:formatCode>General</c:formatCode>
                <c:ptCount val="6"/>
                <c:pt idx="0">
                  <c:v>2</c:v>
                </c:pt>
                <c:pt idx="1">
                  <c:v>44</c:v>
                </c:pt>
                <c:pt idx="2">
                  <c:v>38</c:v>
                </c:pt>
                <c:pt idx="3">
                  <c:v>2</c:v>
                </c:pt>
                <c:pt idx="4">
                  <c:v>10</c:v>
                </c:pt>
                <c:pt idx="5">
                  <c:v>4</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Tindakan jika sampah plastik tersangkut pada alat tangkap atau terbawa bersamaan hasil tangkapan</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2229775163816"/>
          <c:y val="0.28946842064176659"/>
          <c:w val="0.40560673151428617"/>
          <c:h val="0.66743773009077589"/>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Persepsi'!$C$37:$C$38</c:f>
              <c:strCache>
                <c:ptCount val="2"/>
                <c:pt idx="0">
                  <c:v>Dibuang kembali ke laut</c:v>
                </c:pt>
                <c:pt idx="1">
                  <c:v>Dibawa ke daratan untuk dikelola</c:v>
                </c:pt>
              </c:strCache>
            </c:strRef>
          </c:cat>
          <c:val>
            <c:numRef>
              <c:f>'Pengetahuan &amp; Persepsi'!$D$37:$D$38</c:f>
              <c:numCache>
                <c:formatCode>General</c:formatCode>
                <c:ptCount val="2"/>
                <c:pt idx="0">
                  <c:v>62</c:v>
                </c:pt>
                <c:pt idx="1">
                  <c:v>38</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8320633424335244"/>
          <c:y val="0.44008483769024309"/>
          <c:w val="0.33919822615250445"/>
          <c:h val="0.2659237271589152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Program pengelolaan sampah plastik dalam setahun</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Persepsi'!$C$39:$C$41</c:f>
              <c:strCache>
                <c:ptCount val="3"/>
                <c:pt idx="0">
                  <c:v>Sering (4 - 6 kali dalam setahun)</c:v>
                </c:pt>
                <c:pt idx="1">
                  <c:v>Sedang (2 - 4 kali dalam setahun)</c:v>
                </c:pt>
                <c:pt idx="2">
                  <c:v>Jarang (0 - 2 kali dalam setahun)</c:v>
                </c:pt>
              </c:strCache>
            </c:strRef>
          </c:cat>
          <c:val>
            <c:numRef>
              <c:f>'Pengetahuan &amp; Persepsi'!$D$39:$D$41</c:f>
              <c:numCache>
                <c:formatCode>General</c:formatCode>
                <c:ptCount val="3"/>
                <c:pt idx="0">
                  <c:v>0</c:v>
                </c:pt>
                <c:pt idx="1">
                  <c:v>26</c:v>
                </c:pt>
                <c:pt idx="2">
                  <c:v>74</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0222807891559671"/>
          <c:y val="0.396509118713398"/>
          <c:w val="0.37977191966708035"/>
          <c:h val="0.3705748083008420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Keterlibatan kelompok atau lembaga dalam pengelolaan sampah plastik</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Persepsi'!$C$42:$C$46</c:f>
              <c:strCache>
                <c:ptCount val="5"/>
                <c:pt idx="0">
                  <c:v>Pemerintah daerah (dinas/instansi)</c:v>
                </c:pt>
                <c:pt idx="1">
                  <c:v>Lembaga Swadaya Masyarakat (LSM)</c:v>
                </c:pt>
                <c:pt idx="2">
                  <c:v>Organisasi masyarakat lokal (komunitas)</c:v>
                </c:pt>
                <c:pt idx="3">
                  <c:v>Sekolah atau Perguruan Tinggi</c:v>
                </c:pt>
                <c:pt idx="4">
                  <c:v>Pemerintah pusat (kementerian atau lembaga)</c:v>
                </c:pt>
              </c:strCache>
            </c:strRef>
          </c:cat>
          <c:val>
            <c:numRef>
              <c:f>'Pengetahuan &amp; Persepsi'!$D$42:$D$46</c:f>
              <c:numCache>
                <c:formatCode>General</c:formatCode>
                <c:ptCount val="5"/>
                <c:pt idx="0">
                  <c:v>6</c:v>
                </c:pt>
                <c:pt idx="1">
                  <c:v>50</c:v>
                </c:pt>
                <c:pt idx="2">
                  <c:v>28.000000000000004</c:v>
                </c:pt>
                <c:pt idx="3">
                  <c:v>14.000000000000002</c:v>
                </c:pt>
                <c:pt idx="4">
                  <c:v>2</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7286388096081609"/>
          <c:y val="0.26507624905922222"/>
          <c:w val="0.31696241315819645"/>
          <c:h val="0.59129438984518168"/>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Keterlibatan masyarakat</a:t>
            </a:r>
          </a:p>
        </c:rich>
      </c:tx>
      <c:layout>
        <c:manualLayout>
          <c:xMode val="edge"/>
          <c:yMode val="edge"/>
          <c:x val="0.20477797129575709"/>
          <c:y val="3.240740740740740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Persepsi'!$C$47:$C$49</c:f>
              <c:strCache>
                <c:ptCount val="3"/>
                <c:pt idx="0">
                  <c:v>Ya</c:v>
                </c:pt>
                <c:pt idx="1">
                  <c:v>Tidak selalu</c:v>
                </c:pt>
                <c:pt idx="2">
                  <c:v>Tidak </c:v>
                </c:pt>
              </c:strCache>
            </c:strRef>
          </c:cat>
          <c:val>
            <c:numRef>
              <c:f>'Pengetahuan &amp; Persepsi'!$D$47:$D$49</c:f>
              <c:numCache>
                <c:formatCode>General</c:formatCode>
                <c:ptCount val="3"/>
                <c:pt idx="0">
                  <c:v>28.000000000000004</c:v>
                </c:pt>
                <c:pt idx="1">
                  <c:v>48</c:v>
                </c:pt>
                <c:pt idx="2">
                  <c:v>24</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0110646750534678"/>
          <c:y val="0.41079760863225429"/>
          <c:w val="0.21259633948444476"/>
          <c:h val="0.2215212160979877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Jenis kelamin nelayan responden</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Responden'!$D$8:$D$9</c:f>
              <c:strCache>
                <c:ptCount val="2"/>
                <c:pt idx="0">
                  <c:v>Pria</c:v>
                </c:pt>
                <c:pt idx="1">
                  <c:v>Wanita</c:v>
                </c:pt>
              </c:strCache>
            </c:strRef>
          </c:cat>
          <c:val>
            <c:numRef>
              <c:f>'Informasi Umum Responden'!$E$8:$E$9</c:f>
              <c:numCache>
                <c:formatCode>General</c:formatCode>
                <c:ptCount val="2"/>
                <c:pt idx="0">
                  <c:v>100</c:v>
                </c:pt>
                <c:pt idx="1">
                  <c:v>0</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3469119806892524"/>
          <c:y val="0.41121532987316706"/>
          <c:w val="0.15538714716482915"/>
          <c:h val="0.138817244646384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Pengelolaan sampah plastik secara mandiri </a:t>
            </a:r>
          </a:p>
        </c:rich>
      </c:tx>
      <c:layout>
        <c:manualLayout>
          <c:xMode val="edge"/>
          <c:yMode val="edge"/>
          <c:x val="0.14849296474869358"/>
          <c:y val="2.861684856391866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Persepsi'!$C$50:$C$52</c:f>
              <c:strCache>
                <c:ptCount val="3"/>
                <c:pt idx="0">
                  <c:v>Sering (2 - 4 kali dalam tiga bulan)</c:v>
                </c:pt>
                <c:pt idx="1">
                  <c:v>Jarang (1 - 2 kali dalam tiga bulan)</c:v>
                </c:pt>
                <c:pt idx="2">
                  <c:v>Tidak pernah</c:v>
                </c:pt>
              </c:strCache>
            </c:strRef>
          </c:cat>
          <c:val>
            <c:numRef>
              <c:f>'Pengetahuan &amp; Persepsi'!$D$50:$D$52</c:f>
              <c:numCache>
                <c:formatCode>General</c:formatCode>
                <c:ptCount val="3"/>
                <c:pt idx="0">
                  <c:v>8</c:v>
                </c:pt>
                <c:pt idx="1">
                  <c:v>12</c:v>
                </c:pt>
                <c:pt idx="2">
                  <c:v>80</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5968234973351492"/>
          <c:y val="0.41296365772897148"/>
          <c:w val="0.27492254928640814"/>
          <c:h val="0.3705746691317716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Dorongan pengelolaan sampah plastik secara mandiri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'Pengetahuan &amp; Persepsi'!$C$53:$C$56</c:f>
              <c:strCache>
                <c:ptCount val="4"/>
                <c:pt idx="0">
                  <c:v>Atas inisiatif sendiri</c:v>
                </c:pt>
                <c:pt idx="1">
                  <c:v>Atas anjuran organisasi/LSM/Pemerintah</c:v>
                </c:pt>
                <c:pt idx="2">
                  <c:v>Karena dapat dimanfaatkan</c:v>
                </c:pt>
                <c:pt idx="3">
                  <c:v>Karena dapat menimbulkan dampak ekonomi </c:v>
                </c:pt>
              </c:strCache>
            </c:strRef>
          </c:cat>
          <c:val>
            <c:numRef>
              <c:f>'Pengetahuan &amp; Persepsi'!$D$53:$D$56</c:f>
              <c:numCache>
                <c:formatCode>General</c:formatCode>
                <c:ptCount val="4"/>
                <c:pt idx="0">
                  <c:v>0</c:v>
                </c:pt>
                <c:pt idx="1">
                  <c:v>0</c:v>
                </c:pt>
                <c:pt idx="2">
                  <c:v>28.000000000000004</c:v>
                </c:pt>
                <c:pt idx="3">
                  <c:v>72</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7504119894815553"/>
          <c:y val="0.21164104941556139"/>
          <c:w val="0.38062382224303337"/>
          <c:h val="0.72253204810723493"/>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Tingkat</a:t>
            </a:r>
            <a:r>
              <a:rPr lang="en-US" sz="1100" b="1" baseline="0"/>
              <a:t> pendidikan nelayan responden </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Responden'!$D$10:$D$14</c:f>
              <c:strCache>
                <c:ptCount val="5"/>
                <c:pt idx="0">
                  <c:v>Tidak sekolah</c:v>
                </c:pt>
                <c:pt idx="1">
                  <c:v>Tamatan SD</c:v>
                </c:pt>
                <c:pt idx="2">
                  <c:v>Tamatan SMP</c:v>
                </c:pt>
                <c:pt idx="3">
                  <c:v>Tamatan SMA</c:v>
                </c:pt>
                <c:pt idx="4">
                  <c:v>Tamatan Sarjana </c:v>
                </c:pt>
              </c:strCache>
            </c:strRef>
          </c:cat>
          <c:val>
            <c:numRef>
              <c:f>'Informasi Umum Responden'!$E$10:$E$14</c:f>
              <c:numCache>
                <c:formatCode>General</c:formatCode>
                <c:ptCount val="5"/>
                <c:pt idx="0">
                  <c:v>0</c:v>
                </c:pt>
                <c:pt idx="1">
                  <c:v>74</c:v>
                </c:pt>
                <c:pt idx="2">
                  <c:v>22</c:v>
                </c:pt>
                <c:pt idx="3">
                  <c:v>4</c:v>
                </c:pt>
                <c:pt idx="4">
                  <c:v>0</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Pengalaman nelayan responden sebagai nelayan</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dLbl>
              <c:idx val="1"/>
              <c:layout>
                <c:manualLayout>
                  <c:x val="-7.445955619183966E-4"/>
                  <c:y val="1.0913459946066019E-2"/>
                </c:manualLayout>
              </c:layout>
              <c:showLegendKey val="0"/>
              <c:showVal val="0"/>
              <c:showCatName val="0"/>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Responden'!$D$15:$D$17</c:f>
              <c:strCache>
                <c:ptCount val="3"/>
                <c:pt idx="0">
                  <c:v>1 - 3</c:v>
                </c:pt>
                <c:pt idx="1">
                  <c:v>3 - 5</c:v>
                </c:pt>
                <c:pt idx="2">
                  <c:v>&gt; 5</c:v>
                </c:pt>
              </c:strCache>
            </c:strRef>
          </c:cat>
          <c:val>
            <c:numRef>
              <c:f>'Informasi Umum Responden'!$E$15:$E$17</c:f>
              <c:numCache>
                <c:formatCode>General</c:formatCode>
                <c:ptCount val="3"/>
                <c:pt idx="0">
                  <c:v>2</c:v>
                </c:pt>
                <c:pt idx="1">
                  <c:v>2</c:v>
                </c:pt>
                <c:pt idx="2">
                  <c:v>96</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6345397279885474"/>
          <c:y val="0.37623592640839643"/>
          <c:w val="0.1192787412413728"/>
          <c:h val="0.22421710143505114"/>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Jumla</a:t>
            </a:r>
            <a:r>
              <a:rPr lang="en-US" sz="1100" b="1" baseline="0"/>
              <a:t>h tanggungan nelayan responden (orang)</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7485663837808194"/>
          <c:y val="0.20838725470197053"/>
          <c:w val="0.50552713162630392"/>
          <c:h val="0.72467626779813155"/>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Responden'!$D$18:$D$21</c:f>
              <c:strCache>
                <c:ptCount val="4"/>
                <c:pt idx="0">
                  <c:v>0</c:v>
                </c:pt>
                <c:pt idx="1">
                  <c:v>1 - 3</c:v>
                </c:pt>
                <c:pt idx="2">
                  <c:v>3 - 5</c:v>
                </c:pt>
                <c:pt idx="3">
                  <c:v>&gt;5</c:v>
                </c:pt>
              </c:strCache>
            </c:strRef>
          </c:cat>
          <c:val>
            <c:numRef>
              <c:f>'Informasi Umum Responden'!$E$18:$E$21</c:f>
              <c:numCache>
                <c:formatCode>General</c:formatCode>
                <c:ptCount val="4"/>
                <c:pt idx="0">
                  <c:v>6</c:v>
                </c:pt>
                <c:pt idx="1">
                  <c:v>28.000000000000004</c:v>
                </c:pt>
                <c:pt idx="2">
                  <c:v>46</c:v>
                </c:pt>
                <c:pt idx="3">
                  <c:v>20</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3234885377584158"/>
          <c:y val="0.33756966260046506"/>
          <c:w val="0.11856558737332722"/>
          <c:h val="0.3321136153563955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Spesifikasi nelayan responden berdasarkan</a:t>
            </a:r>
            <a:r>
              <a:rPr lang="en-US" sz="1100" b="1" baseline="0"/>
              <a:t> ukuran (GT)</a:t>
            </a:r>
            <a:endParaRPr lang="en-US" sz="1100" b="1"/>
          </a:p>
        </c:rich>
      </c:tx>
      <c:layout>
        <c:manualLayout>
          <c:xMode val="edge"/>
          <c:yMode val="edge"/>
          <c:x val="0.18692867609365288"/>
          <c:y val="3.105457168532182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9546309275918541"/>
          <c:y val="0.19981905210199105"/>
          <c:w val="0.50446766788700315"/>
          <c:h val="0.7250977587320605"/>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'Informasi Umum Responden'!$D$22:$D$26</c:f>
              <c:numCache>
                <c:formatCode>General</c:formatCode>
                <c:ptCount val="5"/>
                <c:pt idx="0">
                  <c:v>0</c:v>
                </c:pt>
                <c:pt idx="1">
                  <c:v>3</c:v>
                </c:pt>
                <c:pt idx="2">
                  <c:v>5</c:v>
                </c:pt>
                <c:pt idx="3">
                  <c:v>7</c:v>
                </c:pt>
                <c:pt idx="4">
                  <c:v>10</c:v>
                </c:pt>
              </c:numCache>
            </c:numRef>
          </c:cat>
          <c:val>
            <c:numRef>
              <c:f>'Informasi Umum Responden'!$E$22:$E$26</c:f>
              <c:numCache>
                <c:formatCode>General</c:formatCode>
                <c:ptCount val="5"/>
                <c:pt idx="0">
                  <c:v>20</c:v>
                </c:pt>
                <c:pt idx="1">
                  <c:v>20</c:v>
                </c:pt>
                <c:pt idx="2">
                  <c:v>20</c:v>
                </c:pt>
                <c:pt idx="3">
                  <c:v>20</c:v>
                </c:pt>
                <c:pt idx="4">
                  <c:v>20</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5133942140624499"/>
          <c:y val="0.2757662267269011"/>
          <c:w val="9.0018371442619372E-2"/>
          <c:h val="0.4127547891080776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Ukuran kapan nelayan responden (meter)</a:t>
            </a:r>
          </a:p>
        </c:rich>
      </c:tx>
      <c:layout>
        <c:manualLayout>
          <c:xMode val="edge"/>
          <c:yMode val="edge"/>
          <c:x val="0.14156891364189236"/>
          <c:y val="6.0819968105434045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Responden'!$D$27:$D$29</c:f>
              <c:strCache>
                <c:ptCount val="3"/>
                <c:pt idx="0">
                  <c:v>&lt;7</c:v>
                </c:pt>
                <c:pt idx="1">
                  <c:v>7 - 10</c:v>
                </c:pt>
                <c:pt idx="2">
                  <c:v>&gt;10</c:v>
                </c:pt>
              </c:strCache>
            </c:strRef>
          </c:cat>
          <c:val>
            <c:numRef>
              <c:f>'Informasi Umum Responden'!$E$27:$E$29</c:f>
              <c:numCache>
                <c:formatCode>General</c:formatCode>
                <c:ptCount val="3"/>
                <c:pt idx="0">
                  <c:v>32</c:v>
                </c:pt>
                <c:pt idx="1">
                  <c:v>42</c:v>
                </c:pt>
                <c:pt idx="2">
                  <c:v>26</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5591805902310993"/>
          <c:y val="0.42137154843260305"/>
          <c:w val="0.12502735695352965"/>
          <c:h val="0.20900276422378347"/>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Umur kapal telah beroperasi</a:t>
            </a:r>
            <a:r>
              <a:rPr lang="en-US" sz="1100" b="1" baseline="0"/>
              <a:t> nelayan responden (tahun)</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509087861121893"/>
          <c:y val="0.19285287255759692"/>
          <c:w val="0.53221121300873186"/>
          <c:h val="0.75920166229221353"/>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Responden'!$D$31:$D$34</c:f>
              <c:strCache>
                <c:ptCount val="4"/>
                <c:pt idx="0">
                  <c:v>&lt;1</c:v>
                </c:pt>
                <c:pt idx="1">
                  <c:v>1 - 3</c:v>
                </c:pt>
                <c:pt idx="2">
                  <c:v>3 - 5</c:v>
                </c:pt>
                <c:pt idx="3">
                  <c:v>&gt;5</c:v>
                </c:pt>
              </c:strCache>
            </c:strRef>
          </c:cat>
          <c:val>
            <c:numRef>
              <c:f>'Informasi Umum Responden'!$E$31:$E$34</c:f>
              <c:numCache>
                <c:formatCode>General</c:formatCode>
                <c:ptCount val="4"/>
                <c:pt idx="0">
                  <c:v>6</c:v>
                </c:pt>
                <c:pt idx="1">
                  <c:v>14.000000000000002</c:v>
                </c:pt>
                <c:pt idx="2">
                  <c:v>16</c:v>
                </c:pt>
                <c:pt idx="3">
                  <c:v>64</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020229546914051"/>
          <c:y val="0.39005067074948963"/>
          <c:w val="0.1088071310215822"/>
          <c:h val="0.2982091316691976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Jenis</a:t>
            </a:r>
            <a:r>
              <a:rPr lang="en-US" sz="1100" b="1" baseline="0"/>
              <a:t> alat tangkap nelayan responden</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002990779285826"/>
          <c:y val="0.25148430178165415"/>
          <c:w val="0.41421138466717572"/>
          <c:h val="0.66182148693379861"/>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'Informasi Umum Responden'!$D$35:$D$43</c:f>
              <c:strCache>
                <c:ptCount val="9"/>
                <c:pt idx="0">
                  <c:v>Jaring angkat / jala</c:v>
                </c:pt>
                <c:pt idx="1">
                  <c:v>Jaring lingkar</c:v>
                </c:pt>
                <c:pt idx="2">
                  <c:v>Pukat </c:v>
                </c:pt>
                <c:pt idx="3">
                  <c:v>Trawl</c:v>
                </c:pt>
                <c:pt idx="4">
                  <c:v>Payang </c:v>
                </c:pt>
                <c:pt idx="5">
                  <c:v>Jaring insang hanyut</c:v>
                </c:pt>
                <c:pt idx="6">
                  <c:v>Rawai</c:v>
                </c:pt>
                <c:pt idx="7">
                  <c:v>Pukat cincin</c:v>
                </c:pt>
                <c:pt idx="8">
                  <c:v>Bubu</c:v>
                </c:pt>
              </c:strCache>
            </c:strRef>
          </c:cat>
          <c:val>
            <c:numRef>
              <c:f>'Informasi Umum Responden'!$E$35:$E$43</c:f>
              <c:numCache>
                <c:formatCode>General</c:formatCode>
                <c:ptCount val="9"/>
                <c:pt idx="0">
                  <c:v>34</c:v>
                </c:pt>
                <c:pt idx="1">
                  <c:v>52</c:v>
                </c:pt>
                <c:pt idx="2">
                  <c:v>6</c:v>
                </c:pt>
                <c:pt idx="3">
                  <c:v>0</c:v>
                </c:pt>
                <c:pt idx="4">
                  <c:v>0</c:v>
                </c:pt>
                <c:pt idx="5">
                  <c:v>2</c:v>
                </c:pt>
                <c:pt idx="6">
                  <c:v>6</c:v>
                </c:pt>
                <c:pt idx="7">
                  <c:v>0</c:v>
                </c:pt>
                <c:pt idx="8">
                  <c:v>0</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1190866935980492"/>
          <c:y val="0.18266648737246813"/>
          <c:w val="0.3457287997471078"/>
          <c:h val="0.74739073644818743"/>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chart" Target="../charts/chart21.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5</xdr:col>
      <xdr:colOff>599723</xdr:colOff>
      <xdr:row>3</xdr:row>
      <xdr:rowOff>11288</xdr:rowOff>
    </xdr:from>
    <xdr:to>
      <xdr:col>11</xdr:col>
      <xdr:colOff>437444</xdr:colOff>
      <xdr:row>18</xdr:row>
      <xdr:rowOff>169333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554744</xdr:colOff>
      <xdr:row>3</xdr:row>
      <xdr:rowOff>12347</xdr:rowOff>
    </xdr:from>
    <xdr:to>
      <xdr:col>17</xdr:col>
      <xdr:colOff>406578</xdr:colOff>
      <xdr:row>19</xdr:row>
      <xdr:rowOff>17640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592665</xdr:colOff>
      <xdr:row>19</xdr:row>
      <xdr:rowOff>117122</xdr:rowOff>
    </xdr:from>
    <xdr:to>
      <xdr:col>11</xdr:col>
      <xdr:colOff>451555</xdr:colOff>
      <xdr:row>35</xdr:row>
      <xdr:rowOff>108656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522111</xdr:colOff>
      <xdr:row>19</xdr:row>
      <xdr:rowOff>119944</xdr:rowOff>
    </xdr:from>
    <xdr:to>
      <xdr:col>17</xdr:col>
      <xdr:colOff>373945</xdr:colOff>
      <xdr:row>35</xdr:row>
      <xdr:rowOff>91723</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585611</xdr:colOff>
      <xdr:row>36</xdr:row>
      <xdr:rowOff>4233</xdr:rowOff>
    </xdr:from>
    <xdr:to>
      <xdr:col>11</xdr:col>
      <xdr:colOff>458611</xdr:colOff>
      <xdr:row>49</xdr:row>
      <xdr:rowOff>70555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529166</xdr:colOff>
      <xdr:row>35</xdr:row>
      <xdr:rowOff>181504</xdr:rowOff>
    </xdr:from>
    <xdr:to>
      <xdr:col>17</xdr:col>
      <xdr:colOff>396875</xdr:colOff>
      <xdr:row>49</xdr:row>
      <xdr:rowOff>79374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531813</xdr:colOff>
      <xdr:row>3</xdr:row>
      <xdr:rowOff>21430</xdr:rowOff>
    </xdr:from>
    <xdr:to>
      <xdr:col>24</xdr:col>
      <xdr:colOff>119063</xdr:colOff>
      <xdr:row>19</xdr:row>
      <xdr:rowOff>15875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555625</xdr:colOff>
      <xdr:row>19</xdr:row>
      <xdr:rowOff>124619</xdr:rowOff>
    </xdr:from>
    <xdr:to>
      <xdr:col>24</xdr:col>
      <xdr:colOff>134937</xdr:colOff>
      <xdr:row>35</xdr:row>
      <xdr:rowOff>103187</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539751</xdr:colOff>
      <xdr:row>35</xdr:row>
      <xdr:rowOff>180181</xdr:rowOff>
    </xdr:from>
    <xdr:to>
      <xdr:col>24</xdr:col>
      <xdr:colOff>158750</xdr:colOff>
      <xdr:row>49</xdr:row>
      <xdr:rowOff>63500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441325</xdr:colOff>
      <xdr:row>3</xdr:row>
      <xdr:rowOff>117475</xdr:rowOff>
    </xdr:from>
    <xdr:to>
      <xdr:col>10</xdr:col>
      <xdr:colOff>501650</xdr:colOff>
      <xdr:row>18</xdr:row>
      <xdr:rowOff>107950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19</xdr:row>
      <xdr:rowOff>22225</xdr:rowOff>
    </xdr:from>
    <xdr:to>
      <xdr:col>10</xdr:col>
      <xdr:colOff>495300</xdr:colOff>
      <xdr:row>32</xdr:row>
      <xdr:rowOff>165100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130175</xdr:rowOff>
    </xdr:from>
    <xdr:to>
      <xdr:col>17</xdr:col>
      <xdr:colOff>235858</xdr:colOff>
      <xdr:row>18</xdr:row>
      <xdr:rowOff>117928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600075</xdr:colOff>
      <xdr:row>18</xdr:row>
      <xdr:rowOff>180975</xdr:rowOff>
    </xdr:from>
    <xdr:to>
      <xdr:col>17</xdr:col>
      <xdr:colOff>228600</xdr:colOff>
      <xdr:row>32</xdr:row>
      <xdr:rowOff>165100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409575</xdr:colOff>
      <xdr:row>33</xdr:row>
      <xdr:rowOff>66675</xdr:rowOff>
    </xdr:from>
    <xdr:to>
      <xdr:col>10</xdr:col>
      <xdr:colOff>501650</xdr:colOff>
      <xdr:row>41</xdr:row>
      <xdr:rowOff>187325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593725</xdr:colOff>
      <xdr:row>33</xdr:row>
      <xdr:rowOff>53975</xdr:rowOff>
    </xdr:from>
    <xdr:to>
      <xdr:col>17</xdr:col>
      <xdr:colOff>228600</xdr:colOff>
      <xdr:row>41</xdr:row>
      <xdr:rowOff>177800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356261</xdr:colOff>
      <xdr:row>3</xdr:row>
      <xdr:rowOff>158587</xdr:rowOff>
    </xdr:from>
    <xdr:to>
      <xdr:col>24</xdr:col>
      <xdr:colOff>230911</xdr:colOff>
      <xdr:row>18</xdr:row>
      <xdr:rowOff>92364</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359833</xdr:colOff>
      <xdr:row>18</xdr:row>
      <xdr:rowOff>131235</xdr:rowOff>
    </xdr:from>
    <xdr:to>
      <xdr:col>24</xdr:col>
      <xdr:colOff>296333</xdr:colOff>
      <xdr:row>32</xdr:row>
      <xdr:rowOff>148168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370417</xdr:colOff>
      <xdr:row>33</xdr:row>
      <xdr:rowOff>42333</xdr:rowOff>
    </xdr:from>
    <xdr:to>
      <xdr:col>24</xdr:col>
      <xdr:colOff>338667</xdr:colOff>
      <xdr:row>41</xdr:row>
      <xdr:rowOff>158750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402168</xdr:colOff>
      <xdr:row>41</xdr:row>
      <xdr:rowOff>395818</xdr:rowOff>
    </xdr:from>
    <xdr:to>
      <xdr:col>10</xdr:col>
      <xdr:colOff>486834</xdr:colOff>
      <xdr:row>52</xdr:row>
      <xdr:rowOff>27518</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31749</xdr:colOff>
      <xdr:row>42</xdr:row>
      <xdr:rowOff>35983</xdr:rowOff>
    </xdr:from>
    <xdr:to>
      <xdr:col>17</xdr:col>
      <xdr:colOff>232832</xdr:colOff>
      <xdr:row>51</xdr:row>
      <xdr:rowOff>169333</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381000</xdr:colOff>
      <xdr:row>42</xdr:row>
      <xdr:rowOff>14817</xdr:rowOff>
    </xdr:from>
    <xdr:to>
      <xdr:col>24</xdr:col>
      <xdr:colOff>381000</xdr:colOff>
      <xdr:row>52</xdr:row>
      <xdr:rowOff>21167</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E69"/>
  <sheetViews>
    <sheetView zoomScale="80" zoomScaleNormal="80" workbookViewId="0">
      <pane xSplit="2" ySplit="5" topLeftCell="U48" activePane="bottomRight" state="frozen"/>
      <selection pane="topRight" activeCell="C1" sqref="C1"/>
      <selection pane="bottomLeft" activeCell="A6" sqref="A6"/>
      <selection pane="bottomRight" activeCell="Y64" sqref="Y64"/>
    </sheetView>
  </sheetViews>
  <sheetFormatPr defaultRowHeight="14.5"/>
  <cols>
    <col min="1" max="1" width="5.36328125" customWidth="1"/>
    <col min="2" max="2" width="18.1796875" customWidth="1"/>
    <col min="3" max="3" width="16.54296875" customWidth="1"/>
    <col min="4" max="4" width="11.7265625" customWidth="1"/>
    <col min="5" max="5" width="16.26953125" customWidth="1"/>
    <col min="6" max="6" width="13.453125" customWidth="1"/>
    <col min="7" max="7" width="13.90625" customWidth="1"/>
    <col min="8" max="8" width="12.90625" customWidth="1"/>
    <col min="9" max="9" width="14.81640625" customWidth="1"/>
    <col min="10" max="10" width="10.81640625" customWidth="1"/>
    <col min="11" max="11" width="12.81640625" customWidth="1"/>
    <col min="12" max="12" width="11.81640625" customWidth="1"/>
    <col min="13" max="13" width="18.90625" customWidth="1"/>
    <col min="14" max="19" width="10.26953125" customWidth="1"/>
    <col min="20" max="20" width="12.81640625" customWidth="1"/>
    <col min="21" max="21" width="13.90625" customWidth="1"/>
    <col min="22" max="22" width="13.7265625" bestFit="1" customWidth="1"/>
    <col min="23" max="23" width="13.7265625" customWidth="1"/>
    <col min="24" max="24" width="13.453125" style="4" customWidth="1"/>
    <col min="25" max="25" width="13.1796875" customWidth="1"/>
    <col min="26" max="26" width="19.26953125" customWidth="1"/>
    <col min="27" max="27" width="14.90625" customWidth="1"/>
    <col min="28" max="28" width="15.1796875" customWidth="1"/>
    <col min="29" max="29" width="13.36328125" customWidth="1"/>
    <col min="30" max="30" width="13.6328125" customWidth="1"/>
    <col min="31" max="31" width="13.08984375" customWidth="1"/>
  </cols>
  <sheetData>
    <row r="2" spans="1:31" ht="15" customHeight="1">
      <c r="A2" s="1" t="s">
        <v>170</v>
      </c>
    </row>
    <row r="4" spans="1:31" ht="125.5" customHeight="1">
      <c r="A4" s="63" t="s">
        <v>0</v>
      </c>
      <c r="B4" s="64" t="s">
        <v>2</v>
      </c>
      <c r="C4" s="64" t="s">
        <v>20</v>
      </c>
      <c r="D4" s="65" t="s">
        <v>135</v>
      </c>
      <c r="E4" s="66" t="s">
        <v>3</v>
      </c>
      <c r="F4" s="66" t="s">
        <v>1</v>
      </c>
      <c r="G4" s="64" t="s">
        <v>4</v>
      </c>
      <c r="H4" s="65" t="s">
        <v>143</v>
      </c>
      <c r="I4" s="67" t="s">
        <v>5</v>
      </c>
      <c r="J4" s="67" t="s">
        <v>6</v>
      </c>
      <c r="K4" s="67" t="s">
        <v>7</v>
      </c>
      <c r="L4" s="67" t="s">
        <v>8</v>
      </c>
      <c r="M4" s="3" t="s">
        <v>9</v>
      </c>
      <c r="N4" s="182" t="s">
        <v>10</v>
      </c>
      <c r="O4" s="183"/>
      <c r="P4" s="183"/>
      <c r="Q4" s="183"/>
      <c r="R4" s="183"/>
      <c r="S4" s="184"/>
      <c r="T4" s="3" t="s">
        <v>12</v>
      </c>
      <c r="U4" s="3" t="s">
        <v>198</v>
      </c>
      <c r="V4" s="3" t="s">
        <v>11</v>
      </c>
      <c r="W4" s="3" t="s">
        <v>199</v>
      </c>
      <c r="X4" s="3" t="s">
        <v>14</v>
      </c>
      <c r="Y4" s="2" t="s">
        <v>13</v>
      </c>
      <c r="Z4" s="3" t="s">
        <v>15</v>
      </c>
      <c r="AA4" s="3" t="s">
        <v>171</v>
      </c>
      <c r="AB4" s="3" t="s">
        <v>16</v>
      </c>
      <c r="AC4" s="3" t="s">
        <v>17</v>
      </c>
      <c r="AD4" s="3" t="s">
        <v>18</v>
      </c>
      <c r="AE4" s="3" t="s">
        <v>19</v>
      </c>
    </row>
    <row r="5" spans="1:31">
      <c r="A5" s="5"/>
      <c r="B5" s="5"/>
      <c r="C5" s="5"/>
      <c r="D5" s="5"/>
      <c r="E5" s="5"/>
      <c r="F5" s="5"/>
      <c r="G5" s="5"/>
      <c r="H5" s="5"/>
      <c r="I5" s="5"/>
      <c r="J5" s="5"/>
      <c r="K5" s="5"/>
      <c r="L5" s="5"/>
      <c r="M5" s="5"/>
      <c r="N5" s="11">
        <v>1</v>
      </c>
      <c r="O5" s="11">
        <v>2</v>
      </c>
      <c r="P5" s="11">
        <v>3</v>
      </c>
      <c r="Q5" s="11">
        <v>4</v>
      </c>
      <c r="R5" s="11">
        <v>5</v>
      </c>
      <c r="S5" s="11">
        <v>6</v>
      </c>
      <c r="T5" s="5"/>
      <c r="U5" s="5"/>
      <c r="V5" s="5"/>
      <c r="W5" s="5"/>
      <c r="X5" s="5"/>
      <c r="Y5" s="5"/>
      <c r="Z5" s="5"/>
      <c r="AA5" s="5"/>
      <c r="AB5" s="5"/>
      <c r="AC5" s="5"/>
      <c r="AD5" s="5"/>
      <c r="AE5" s="5"/>
    </row>
    <row r="6" spans="1:31">
      <c r="A6" s="6" t="s">
        <v>21</v>
      </c>
      <c r="B6" s="7" t="s">
        <v>71</v>
      </c>
      <c r="C6" s="7" t="s">
        <v>73</v>
      </c>
      <c r="D6" s="6">
        <v>3</v>
      </c>
      <c r="E6" s="6">
        <v>1</v>
      </c>
      <c r="F6" s="6">
        <v>3</v>
      </c>
      <c r="G6" s="6">
        <v>3</v>
      </c>
      <c r="H6" s="6">
        <v>3</v>
      </c>
      <c r="I6" s="6">
        <v>1</v>
      </c>
      <c r="J6" s="6">
        <v>1</v>
      </c>
      <c r="K6" s="6">
        <v>3</v>
      </c>
      <c r="L6" s="6">
        <v>1</v>
      </c>
      <c r="M6" s="7" t="s">
        <v>145</v>
      </c>
      <c r="N6" s="6">
        <v>0</v>
      </c>
      <c r="O6" s="6">
        <v>1</v>
      </c>
      <c r="P6" s="6">
        <v>0</v>
      </c>
      <c r="Q6" s="6">
        <v>1</v>
      </c>
      <c r="R6" s="6">
        <v>0</v>
      </c>
      <c r="S6" s="6">
        <v>0</v>
      </c>
      <c r="T6" s="6">
        <v>7</v>
      </c>
      <c r="U6" s="12">
        <f>T6/7</f>
        <v>1</v>
      </c>
      <c r="V6" s="6">
        <v>1</v>
      </c>
      <c r="W6" s="6">
        <v>2</v>
      </c>
      <c r="X6" s="6">
        <v>1</v>
      </c>
      <c r="Y6" s="6">
        <v>5</v>
      </c>
      <c r="Z6" s="6">
        <v>2</v>
      </c>
      <c r="AA6" s="6">
        <v>3</v>
      </c>
      <c r="AB6" s="6">
        <v>3</v>
      </c>
      <c r="AC6" s="6">
        <v>2</v>
      </c>
      <c r="AD6" s="6">
        <v>3</v>
      </c>
      <c r="AE6" s="6">
        <v>4</v>
      </c>
    </row>
    <row r="7" spans="1:31">
      <c r="A7" s="6" t="s">
        <v>22</v>
      </c>
      <c r="B7" s="7" t="s">
        <v>72</v>
      </c>
      <c r="C7" s="7" t="s">
        <v>73</v>
      </c>
      <c r="D7" s="6">
        <v>3</v>
      </c>
      <c r="E7" s="6">
        <v>1</v>
      </c>
      <c r="F7" s="6">
        <v>2</v>
      </c>
      <c r="G7" s="6">
        <v>3</v>
      </c>
      <c r="H7" s="6">
        <v>2</v>
      </c>
      <c r="I7" s="6">
        <v>1</v>
      </c>
      <c r="J7" s="6">
        <v>1</v>
      </c>
      <c r="K7" s="6">
        <v>4</v>
      </c>
      <c r="L7" s="6">
        <v>1</v>
      </c>
      <c r="M7" s="7" t="s">
        <v>146</v>
      </c>
      <c r="N7" s="6">
        <v>1</v>
      </c>
      <c r="O7" s="6">
        <v>1</v>
      </c>
      <c r="P7" s="6">
        <v>0</v>
      </c>
      <c r="Q7" s="6">
        <v>0</v>
      </c>
      <c r="R7" s="6">
        <v>0</v>
      </c>
      <c r="S7" s="6">
        <v>1</v>
      </c>
      <c r="T7" s="6">
        <v>6</v>
      </c>
      <c r="U7" s="12">
        <f t="shared" ref="U7:U55" si="0">T7/7</f>
        <v>0.8571428571428571</v>
      </c>
      <c r="V7" s="6">
        <v>1</v>
      </c>
      <c r="W7" s="6">
        <v>2</v>
      </c>
      <c r="X7" s="6">
        <v>1</v>
      </c>
      <c r="Y7" s="6">
        <v>5</v>
      </c>
      <c r="Z7" s="6">
        <v>2</v>
      </c>
      <c r="AA7" s="6">
        <v>3</v>
      </c>
      <c r="AB7" s="6">
        <v>3</v>
      </c>
      <c r="AC7" s="6">
        <v>2</v>
      </c>
      <c r="AD7" s="6">
        <v>3</v>
      </c>
      <c r="AE7" s="6">
        <v>4</v>
      </c>
    </row>
    <row r="8" spans="1:31">
      <c r="A8" s="6" t="s">
        <v>23</v>
      </c>
      <c r="B8" s="7" t="s">
        <v>74</v>
      </c>
      <c r="C8" s="7" t="s">
        <v>75</v>
      </c>
      <c r="D8" s="6">
        <v>4</v>
      </c>
      <c r="E8" s="6">
        <v>1</v>
      </c>
      <c r="F8" s="6">
        <v>3</v>
      </c>
      <c r="G8" s="6">
        <v>3</v>
      </c>
      <c r="H8" s="6">
        <v>2</v>
      </c>
      <c r="I8" s="6">
        <v>1</v>
      </c>
      <c r="J8" s="6">
        <v>1</v>
      </c>
      <c r="K8" s="6">
        <v>4</v>
      </c>
      <c r="L8" s="6">
        <v>1</v>
      </c>
      <c r="M8" s="7" t="s">
        <v>147</v>
      </c>
      <c r="N8" s="6">
        <v>1</v>
      </c>
      <c r="O8" s="6">
        <v>1</v>
      </c>
      <c r="P8" s="6">
        <v>0</v>
      </c>
      <c r="Q8" s="6">
        <v>0</v>
      </c>
      <c r="R8" s="6">
        <v>0</v>
      </c>
      <c r="S8" s="6">
        <v>1</v>
      </c>
      <c r="T8" s="6">
        <v>6</v>
      </c>
      <c r="U8" s="12">
        <f t="shared" si="0"/>
        <v>0.8571428571428571</v>
      </c>
      <c r="V8" s="6">
        <v>1</v>
      </c>
      <c r="W8" s="6">
        <v>2</v>
      </c>
      <c r="X8" s="6">
        <v>2</v>
      </c>
      <c r="Y8" s="6">
        <v>6</v>
      </c>
      <c r="Z8" s="6">
        <v>2</v>
      </c>
      <c r="AA8" s="6">
        <v>3</v>
      </c>
      <c r="AB8" s="6">
        <v>3</v>
      </c>
      <c r="AC8" s="6">
        <v>2</v>
      </c>
      <c r="AD8" s="6">
        <v>3</v>
      </c>
      <c r="AE8" s="6">
        <v>4</v>
      </c>
    </row>
    <row r="9" spans="1:31">
      <c r="A9" s="6" t="s">
        <v>24</v>
      </c>
      <c r="B9" s="7" t="s">
        <v>76</v>
      </c>
      <c r="C9" s="7" t="s">
        <v>77</v>
      </c>
      <c r="D9" s="6">
        <v>4</v>
      </c>
      <c r="E9" s="6">
        <v>1</v>
      </c>
      <c r="F9" s="6">
        <v>2</v>
      </c>
      <c r="G9" s="6">
        <v>3</v>
      </c>
      <c r="H9" s="6">
        <v>2</v>
      </c>
      <c r="I9" s="6">
        <v>1</v>
      </c>
      <c r="J9" s="6">
        <v>1</v>
      </c>
      <c r="K9" s="6">
        <v>4</v>
      </c>
      <c r="L9" s="6">
        <v>1</v>
      </c>
      <c r="M9" s="7" t="s">
        <v>148</v>
      </c>
      <c r="N9" s="6">
        <v>0</v>
      </c>
      <c r="O9" s="6">
        <v>0</v>
      </c>
      <c r="P9" s="6">
        <v>0</v>
      </c>
      <c r="Q9" s="6">
        <v>0</v>
      </c>
      <c r="R9" s="6">
        <v>0</v>
      </c>
      <c r="S9" s="6">
        <v>1</v>
      </c>
      <c r="T9" s="6">
        <v>7</v>
      </c>
      <c r="U9" s="12">
        <f t="shared" si="0"/>
        <v>1</v>
      </c>
      <c r="V9" s="6">
        <v>1</v>
      </c>
      <c r="W9" s="6">
        <v>3</v>
      </c>
      <c r="X9" s="6">
        <v>1</v>
      </c>
      <c r="Y9" s="6">
        <v>6</v>
      </c>
      <c r="Z9" s="6">
        <v>2</v>
      </c>
      <c r="AA9" s="6">
        <v>3</v>
      </c>
      <c r="AB9" s="6">
        <v>3</v>
      </c>
      <c r="AC9" s="6">
        <v>2</v>
      </c>
      <c r="AD9" s="6">
        <v>3</v>
      </c>
      <c r="AE9" s="6">
        <v>4</v>
      </c>
    </row>
    <row r="10" spans="1:31">
      <c r="A10" s="6" t="s">
        <v>25</v>
      </c>
      <c r="B10" s="7" t="s">
        <v>78</v>
      </c>
      <c r="C10" s="7" t="s">
        <v>79</v>
      </c>
      <c r="D10" s="6">
        <v>3</v>
      </c>
      <c r="E10" s="6">
        <v>1</v>
      </c>
      <c r="F10" s="6">
        <v>2</v>
      </c>
      <c r="G10" s="6">
        <v>3</v>
      </c>
      <c r="H10" s="6">
        <v>3</v>
      </c>
      <c r="I10" s="6">
        <v>1</v>
      </c>
      <c r="J10" s="6">
        <v>1</v>
      </c>
      <c r="K10" s="6">
        <v>4</v>
      </c>
      <c r="L10" s="6">
        <v>1</v>
      </c>
      <c r="M10" s="10" t="s">
        <v>146</v>
      </c>
      <c r="N10" s="6">
        <v>1</v>
      </c>
      <c r="O10" s="6">
        <v>0</v>
      </c>
      <c r="P10" s="6">
        <v>1</v>
      </c>
      <c r="Q10" s="6">
        <v>0</v>
      </c>
      <c r="R10" s="6">
        <v>0</v>
      </c>
      <c r="S10" s="6">
        <v>0</v>
      </c>
      <c r="T10" s="6">
        <v>7</v>
      </c>
      <c r="U10" s="12">
        <f t="shared" si="0"/>
        <v>1</v>
      </c>
      <c r="V10" s="6">
        <v>1</v>
      </c>
      <c r="W10" s="6">
        <v>3</v>
      </c>
      <c r="X10" s="6">
        <v>3</v>
      </c>
      <c r="Y10" s="6">
        <v>5</v>
      </c>
      <c r="Z10" s="6">
        <v>2</v>
      </c>
      <c r="AA10" s="6">
        <v>3</v>
      </c>
      <c r="AB10" s="6">
        <v>2</v>
      </c>
      <c r="AC10" s="6">
        <v>1</v>
      </c>
      <c r="AD10" s="6">
        <v>3</v>
      </c>
      <c r="AE10" s="6">
        <v>4</v>
      </c>
    </row>
    <row r="11" spans="1:31">
      <c r="A11" s="6" t="s">
        <v>26</v>
      </c>
      <c r="B11" s="7" t="s">
        <v>80</v>
      </c>
      <c r="C11" s="7" t="s">
        <v>79</v>
      </c>
      <c r="D11" s="6">
        <v>2</v>
      </c>
      <c r="E11" s="6">
        <v>1</v>
      </c>
      <c r="F11" s="6">
        <v>2</v>
      </c>
      <c r="G11" s="6">
        <v>3</v>
      </c>
      <c r="H11" s="6">
        <v>3</v>
      </c>
      <c r="I11" s="6">
        <v>1</v>
      </c>
      <c r="J11" s="6">
        <v>1</v>
      </c>
      <c r="K11" s="6">
        <v>2</v>
      </c>
      <c r="L11" s="6">
        <v>1</v>
      </c>
      <c r="M11" s="7" t="s">
        <v>149</v>
      </c>
      <c r="N11" s="6">
        <v>0</v>
      </c>
      <c r="O11" s="6">
        <v>1</v>
      </c>
      <c r="P11" s="6">
        <v>1</v>
      </c>
      <c r="Q11" s="6">
        <v>0</v>
      </c>
      <c r="R11" s="6">
        <v>0</v>
      </c>
      <c r="S11" s="6">
        <v>1</v>
      </c>
      <c r="T11" s="6">
        <v>5</v>
      </c>
      <c r="U11" s="12">
        <f t="shared" si="0"/>
        <v>0.7142857142857143</v>
      </c>
      <c r="V11" s="6">
        <v>1</v>
      </c>
      <c r="W11" s="6">
        <v>2</v>
      </c>
      <c r="X11" s="6">
        <v>2</v>
      </c>
      <c r="Y11" s="6">
        <v>3</v>
      </c>
      <c r="Z11" s="6">
        <v>2</v>
      </c>
      <c r="AA11" s="6">
        <v>3</v>
      </c>
      <c r="AB11" s="6">
        <v>2</v>
      </c>
      <c r="AC11" s="6">
        <v>1</v>
      </c>
      <c r="AD11" s="6">
        <v>3</v>
      </c>
      <c r="AE11" s="6">
        <v>4</v>
      </c>
    </row>
    <row r="12" spans="1:31">
      <c r="A12" s="6" t="s">
        <v>27</v>
      </c>
      <c r="B12" s="7" t="s">
        <v>81</v>
      </c>
      <c r="C12" s="7" t="s">
        <v>75</v>
      </c>
      <c r="D12" s="6">
        <v>3</v>
      </c>
      <c r="E12" s="6">
        <v>1</v>
      </c>
      <c r="F12" s="6">
        <v>2</v>
      </c>
      <c r="G12" s="6">
        <v>3</v>
      </c>
      <c r="H12" s="6">
        <v>3</v>
      </c>
      <c r="I12" s="6">
        <v>1</v>
      </c>
      <c r="J12" s="6">
        <v>1</v>
      </c>
      <c r="K12" s="6">
        <v>4</v>
      </c>
      <c r="L12" s="6">
        <v>1</v>
      </c>
      <c r="M12" s="7" t="s">
        <v>150</v>
      </c>
      <c r="N12" s="6">
        <v>1</v>
      </c>
      <c r="O12" s="6">
        <v>1</v>
      </c>
      <c r="P12" s="6">
        <v>0</v>
      </c>
      <c r="Q12" s="6">
        <v>0</v>
      </c>
      <c r="R12" s="6">
        <v>0</v>
      </c>
      <c r="S12" s="6">
        <v>0</v>
      </c>
      <c r="T12" s="6">
        <v>4</v>
      </c>
      <c r="U12" s="12">
        <f t="shared" si="0"/>
        <v>0.5714285714285714</v>
      </c>
      <c r="V12" s="6">
        <v>1</v>
      </c>
      <c r="W12" s="6">
        <v>2</v>
      </c>
      <c r="X12" s="6">
        <v>2</v>
      </c>
      <c r="Y12" s="6">
        <v>3</v>
      </c>
      <c r="Z12" s="6">
        <v>2</v>
      </c>
      <c r="AA12" s="6">
        <v>2</v>
      </c>
      <c r="AB12" s="6">
        <v>2</v>
      </c>
      <c r="AC12" s="6">
        <v>1</v>
      </c>
      <c r="AD12" s="6">
        <v>1</v>
      </c>
      <c r="AE12" s="6">
        <v>4</v>
      </c>
    </row>
    <row r="13" spans="1:31">
      <c r="A13" s="6" t="s">
        <v>28</v>
      </c>
      <c r="B13" s="7" t="s">
        <v>82</v>
      </c>
      <c r="C13" s="7" t="s">
        <v>83</v>
      </c>
      <c r="D13" s="6">
        <v>3</v>
      </c>
      <c r="E13" s="6">
        <v>1</v>
      </c>
      <c r="F13" s="6">
        <v>3</v>
      </c>
      <c r="G13" s="6">
        <v>3</v>
      </c>
      <c r="H13" s="6">
        <v>4</v>
      </c>
      <c r="I13" s="6">
        <v>1</v>
      </c>
      <c r="J13" s="6">
        <v>1</v>
      </c>
      <c r="K13" s="6">
        <v>2</v>
      </c>
      <c r="L13" s="6">
        <v>1</v>
      </c>
      <c r="M13" s="10" t="s">
        <v>151</v>
      </c>
      <c r="N13" s="6">
        <v>0</v>
      </c>
      <c r="O13" s="6">
        <v>0</v>
      </c>
      <c r="P13" s="6">
        <v>1</v>
      </c>
      <c r="Q13" s="6">
        <v>0</v>
      </c>
      <c r="R13" s="6">
        <v>0</v>
      </c>
      <c r="S13" s="6">
        <v>1</v>
      </c>
      <c r="T13" s="6">
        <v>6</v>
      </c>
      <c r="U13" s="12">
        <f t="shared" si="0"/>
        <v>0.8571428571428571</v>
      </c>
      <c r="V13" s="6">
        <v>3</v>
      </c>
      <c r="W13" s="6">
        <v>2</v>
      </c>
      <c r="X13" s="6">
        <v>3</v>
      </c>
      <c r="Y13" s="6">
        <v>2</v>
      </c>
      <c r="Z13" s="6">
        <v>2</v>
      </c>
      <c r="AA13" s="6">
        <v>3</v>
      </c>
      <c r="AB13" s="6">
        <v>4</v>
      </c>
      <c r="AC13" s="6">
        <v>2</v>
      </c>
      <c r="AD13" s="6">
        <v>3</v>
      </c>
      <c r="AE13" s="6">
        <v>3</v>
      </c>
    </row>
    <row r="14" spans="1:31">
      <c r="A14" s="6" t="s">
        <v>29</v>
      </c>
      <c r="B14" s="7" t="s">
        <v>84</v>
      </c>
      <c r="C14" s="7" t="s">
        <v>85</v>
      </c>
      <c r="D14" s="6">
        <v>3</v>
      </c>
      <c r="E14" s="6">
        <v>1</v>
      </c>
      <c r="F14" s="6">
        <v>2</v>
      </c>
      <c r="G14" s="6">
        <v>3</v>
      </c>
      <c r="H14" s="6">
        <v>3</v>
      </c>
      <c r="I14" s="6">
        <v>1</v>
      </c>
      <c r="J14" s="6">
        <v>1</v>
      </c>
      <c r="K14" s="6">
        <v>1</v>
      </c>
      <c r="L14" s="6">
        <v>1</v>
      </c>
      <c r="M14" s="7" t="s">
        <v>151</v>
      </c>
      <c r="N14" s="6">
        <v>0</v>
      </c>
      <c r="O14" s="6">
        <v>1</v>
      </c>
      <c r="P14" s="6">
        <v>1</v>
      </c>
      <c r="Q14" s="6">
        <v>0</v>
      </c>
      <c r="R14" s="6">
        <v>0</v>
      </c>
      <c r="S14" s="6">
        <v>1</v>
      </c>
      <c r="T14" s="6">
        <v>7</v>
      </c>
      <c r="U14" s="12">
        <f t="shared" si="0"/>
        <v>1</v>
      </c>
      <c r="V14" s="6">
        <v>1</v>
      </c>
      <c r="W14" s="6">
        <v>3</v>
      </c>
      <c r="X14" s="6">
        <v>1</v>
      </c>
      <c r="Y14" s="6">
        <v>2</v>
      </c>
      <c r="Z14" s="6">
        <v>2</v>
      </c>
      <c r="AA14" s="6">
        <v>3</v>
      </c>
      <c r="AB14" s="6">
        <v>2</v>
      </c>
      <c r="AC14" s="6">
        <v>1</v>
      </c>
      <c r="AD14" s="6">
        <v>3</v>
      </c>
      <c r="AE14" s="6">
        <v>4</v>
      </c>
    </row>
    <row r="15" spans="1:31">
      <c r="A15" s="6" t="s">
        <v>30</v>
      </c>
      <c r="B15" s="7" t="s">
        <v>86</v>
      </c>
      <c r="C15" s="7" t="s">
        <v>136</v>
      </c>
      <c r="D15" s="6">
        <v>3</v>
      </c>
      <c r="E15" s="6">
        <v>1</v>
      </c>
      <c r="F15" s="6">
        <v>2</v>
      </c>
      <c r="G15" s="6">
        <v>3</v>
      </c>
      <c r="H15" s="6">
        <v>3</v>
      </c>
      <c r="I15" s="6">
        <v>1</v>
      </c>
      <c r="J15" s="6">
        <v>1</v>
      </c>
      <c r="K15" s="6">
        <v>4</v>
      </c>
      <c r="L15" s="6">
        <v>1</v>
      </c>
      <c r="M15" s="7" t="s">
        <v>152</v>
      </c>
      <c r="N15" s="6">
        <v>0</v>
      </c>
      <c r="O15" s="6">
        <v>1</v>
      </c>
      <c r="P15" s="6">
        <v>0</v>
      </c>
      <c r="Q15" s="6">
        <v>0</v>
      </c>
      <c r="R15" s="6">
        <v>1</v>
      </c>
      <c r="S15" s="6">
        <v>1</v>
      </c>
      <c r="T15" s="6">
        <v>5</v>
      </c>
      <c r="U15" s="12">
        <f t="shared" si="0"/>
        <v>0.7142857142857143</v>
      </c>
      <c r="V15" s="6">
        <v>3</v>
      </c>
      <c r="W15" s="6">
        <v>3</v>
      </c>
      <c r="X15" s="6">
        <v>2</v>
      </c>
      <c r="Y15" s="6">
        <v>5</v>
      </c>
      <c r="Z15" s="6">
        <v>2</v>
      </c>
      <c r="AA15" s="6">
        <v>3</v>
      </c>
      <c r="AB15" s="6">
        <v>2</v>
      </c>
      <c r="AC15" s="6">
        <v>2</v>
      </c>
      <c r="AD15" s="6">
        <v>1</v>
      </c>
      <c r="AE15" s="6">
        <v>4</v>
      </c>
    </row>
    <row r="16" spans="1:31">
      <c r="A16" s="6" t="s">
        <v>31</v>
      </c>
      <c r="B16" s="7" t="s">
        <v>87</v>
      </c>
      <c r="C16" s="7" t="s">
        <v>73</v>
      </c>
      <c r="D16" s="6">
        <v>3</v>
      </c>
      <c r="E16" s="6">
        <v>1</v>
      </c>
      <c r="F16" s="6">
        <v>2</v>
      </c>
      <c r="G16" s="6">
        <v>3</v>
      </c>
      <c r="H16" s="6">
        <v>4</v>
      </c>
      <c r="I16" s="6">
        <v>2</v>
      </c>
      <c r="J16" s="6">
        <v>1</v>
      </c>
      <c r="K16" s="6">
        <v>2</v>
      </c>
      <c r="L16" s="6">
        <v>2</v>
      </c>
      <c r="M16" s="7" t="s">
        <v>151</v>
      </c>
      <c r="N16" s="6">
        <v>0</v>
      </c>
      <c r="O16" s="6">
        <v>0</v>
      </c>
      <c r="P16" s="6">
        <v>0</v>
      </c>
      <c r="Q16" s="6">
        <v>1</v>
      </c>
      <c r="R16" s="6">
        <v>0</v>
      </c>
      <c r="S16" s="6">
        <v>1</v>
      </c>
      <c r="T16" s="6">
        <v>7</v>
      </c>
      <c r="U16" s="12">
        <f t="shared" si="0"/>
        <v>1</v>
      </c>
      <c r="V16" s="6">
        <v>3</v>
      </c>
      <c r="W16" s="6">
        <v>3</v>
      </c>
      <c r="X16" s="6">
        <v>1</v>
      </c>
      <c r="Y16" s="6">
        <v>3</v>
      </c>
      <c r="Z16" s="6">
        <v>2</v>
      </c>
      <c r="AA16" s="6">
        <v>3</v>
      </c>
      <c r="AB16" s="6">
        <v>2</v>
      </c>
      <c r="AC16" s="6">
        <v>2</v>
      </c>
      <c r="AD16" s="6">
        <v>3</v>
      </c>
      <c r="AE16" s="6">
        <v>3</v>
      </c>
    </row>
    <row r="17" spans="1:31">
      <c r="A17" s="6" t="s">
        <v>32</v>
      </c>
      <c r="B17" s="7" t="s">
        <v>88</v>
      </c>
      <c r="C17" s="7" t="s">
        <v>79</v>
      </c>
      <c r="D17" s="6">
        <v>3</v>
      </c>
      <c r="E17" s="6">
        <v>1</v>
      </c>
      <c r="F17" s="6">
        <v>4</v>
      </c>
      <c r="G17" s="6">
        <v>3</v>
      </c>
      <c r="H17" s="6">
        <v>2</v>
      </c>
      <c r="I17" s="6">
        <v>2</v>
      </c>
      <c r="J17" s="6">
        <v>2</v>
      </c>
      <c r="K17" s="6">
        <v>4</v>
      </c>
      <c r="L17" s="6">
        <v>1</v>
      </c>
      <c r="M17" s="7" t="s">
        <v>148</v>
      </c>
      <c r="N17" s="6">
        <v>1</v>
      </c>
      <c r="O17" s="6">
        <v>1</v>
      </c>
      <c r="P17" s="6">
        <v>1</v>
      </c>
      <c r="Q17" s="6">
        <v>0</v>
      </c>
      <c r="R17" s="6">
        <v>0</v>
      </c>
      <c r="S17" s="6">
        <v>1</v>
      </c>
      <c r="T17" s="6">
        <v>4</v>
      </c>
      <c r="U17" s="12">
        <f t="shared" si="0"/>
        <v>0.5714285714285714</v>
      </c>
      <c r="V17" s="6">
        <v>3</v>
      </c>
      <c r="W17" s="6">
        <v>2</v>
      </c>
      <c r="X17" s="6">
        <v>3</v>
      </c>
      <c r="Y17" s="6">
        <v>5</v>
      </c>
      <c r="Z17" s="6">
        <v>2</v>
      </c>
      <c r="AA17" s="6">
        <v>3</v>
      </c>
      <c r="AB17" s="6">
        <v>2</v>
      </c>
      <c r="AC17" s="6">
        <v>2</v>
      </c>
      <c r="AD17" s="6">
        <v>3</v>
      </c>
      <c r="AE17" s="6">
        <v>4</v>
      </c>
    </row>
    <row r="18" spans="1:31">
      <c r="A18" s="6" t="s">
        <v>33</v>
      </c>
      <c r="B18" s="7" t="s">
        <v>89</v>
      </c>
      <c r="C18" s="7" t="s">
        <v>73</v>
      </c>
      <c r="D18" s="6">
        <v>3</v>
      </c>
      <c r="E18" s="6">
        <v>1</v>
      </c>
      <c r="F18" s="6">
        <v>2</v>
      </c>
      <c r="G18" s="6">
        <v>3</v>
      </c>
      <c r="H18" s="6">
        <v>2</v>
      </c>
      <c r="I18" s="6">
        <v>2</v>
      </c>
      <c r="J18" s="6">
        <v>1</v>
      </c>
      <c r="K18" s="6">
        <v>4</v>
      </c>
      <c r="L18" s="6">
        <v>1</v>
      </c>
      <c r="M18" s="7" t="s">
        <v>165</v>
      </c>
      <c r="N18" s="6">
        <v>0</v>
      </c>
      <c r="O18" s="6">
        <v>0</v>
      </c>
      <c r="P18" s="6">
        <v>1</v>
      </c>
      <c r="Q18" s="6">
        <v>0</v>
      </c>
      <c r="R18" s="6">
        <v>0</v>
      </c>
      <c r="S18" s="6">
        <v>1</v>
      </c>
      <c r="T18" s="6">
        <v>4</v>
      </c>
      <c r="U18" s="12">
        <f t="shared" si="0"/>
        <v>0.5714285714285714</v>
      </c>
      <c r="V18" s="6">
        <v>1</v>
      </c>
      <c r="W18" s="6">
        <v>2</v>
      </c>
      <c r="X18" s="6">
        <v>4</v>
      </c>
      <c r="Y18" s="6">
        <v>2</v>
      </c>
      <c r="Z18" s="6">
        <v>1</v>
      </c>
      <c r="AA18" s="6">
        <v>2</v>
      </c>
      <c r="AB18" s="6">
        <v>2</v>
      </c>
      <c r="AC18" s="6">
        <v>2</v>
      </c>
      <c r="AD18" s="6">
        <v>3</v>
      </c>
      <c r="AE18" s="6">
        <v>4</v>
      </c>
    </row>
    <row r="19" spans="1:31">
      <c r="A19" s="6" t="s">
        <v>34</v>
      </c>
      <c r="B19" s="7" t="s">
        <v>90</v>
      </c>
      <c r="C19" s="7" t="s">
        <v>77</v>
      </c>
      <c r="D19" s="6">
        <v>3</v>
      </c>
      <c r="E19" s="6">
        <v>1</v>
      </c>
      <c r="F19" s="6">
        <v>2</v>
      </c>
      <c r="G19" s="6">
        <v>3</v>
      </c>
      <c r="H19" s="6">
        <v>2</v>
      </c>
      <c r="I19" s="6">
        <v>2</v>
      </c>
      <c r="J19" s="6">
        <v>2</v>
      </c>
      <c r="K19" s="6">
        <v>4</v>
      </c>
      <c r="L19" s="6">
        <v>7</v>
      </c>
      <c r="M19" s="7" t="s">
        <v>153</v>
      </c>
      <c r="N19" s="6">
        <v>0</v>
      </c>
      <c r="O19" s="6">
        <v>1</v>
      </c>
      <c r="P19" s="6">
        <v>0</v>
      </c>
      <c r="Q19" s="6">
        <v>0</v>
      </c>
      <c r="R19" s="6">
        <v>1</v>
      </c>
      <c r="S19" s="6">
        <v>1</v>
      </c>
      <c r="T19" s="6">
        <v>3</v>
      </c>
      <c r="U19" s="12">
        <f t="shared" si="0"/>
        <v>0.42857142857142855</v>
      </c>
      <c r="V19" s="6">
        <v>1</v>
      </c>
      <c r="W19" s="6">
        <v>2</v>
      </c>
      <c r="X19" s="6">
        <v>1</v>
      </c>
      <c r="Y19" s="6">
        <v>2</v>
      </c>
      <c r="Z19" s="6">
        <v>1</v>
      </c>
      <c r="AA19" s="6">
        <v>3</v>
      </c>
      <c r="AB19" s="6">
        <v>2</v>
      </c>
      <c r="AC19" s="6">
        <v>2</v>
      </c>
      <c r="AD19" s="6">
        <v>3</v>
      </c>
      <c r="AE19" s="6">
        <v>3</v>
      </c>
    </row>
    <row r="20" spans="1:31">
      <c r="A20" s="6" t="s">
        <v>35</v>
      </c>
      <c r="B20" s="7" t="s">
        <v>91</v>
      </c>
      <c r="C20" s="7" t="s">
        <v>79</v>
      </c>
      <c r="D20" s="6">
        <v>2</v>
      </c>
      <c r="E20" s="6">
        <v>1</v>
      </c>
      <c r="F20" s="6">
        <v>2</v>
      </c>
      <c r="G20" s="6">
        <v>3</v>
      </c>
      <c r="H20" s="6">
        <v>2</v>
      </c>
      <c r="I20" s="6">
        <v>2</v>
      </c>
      <c r="J20" s="6">
        <v>2</v>
      </c>
      <c r="K20" s="6">
        <v>4</v>
      </c>
      <c r="L20" s="6">
        <v>7</v>
      </c>
      <c r="M20" s="7" t="s">
        <v>154</v>
      </c>
      <c r="N20" s="6">
        <v>0</v>
      </c>
      <c r="O20" s="6">
        <v>0</v>
      </c>
      <c r="P20" s="6">
        <v>1</v>
      </c>
      <c r="Q20" s="6">
        <v>0</v>
      </c>
      <c r="R20" s="6">
        <v>0</v>
      </c>
      <c r="S20" s="6">
        <v>1</v>
      </c>
      <c r="T20" s="6">
        <v>3</v>
      </c>
      <c r="U20" s="12">
        <f t="shared" si="0"/>
        <v>0.42857142857142855</v>
      </c>
      <c r="V20" s="6">
        <v>3</v>
      </c>
      <c r="W20" s="6">
        <v>2</v>
      </c>
      <c r="X20" s="6">
        <v>1</v>
      </c>
      <c r="Y20" s="6">
        <v>2</v>
      </c>
      <c r="Z20" s="6">
        <v>1</v>
      </c>
      <c r="AA20" s="6">
        <v>3</v>
      </c>
      <c r="AB20" s="6">
        <v>3</v>
      </c>
      <c r="AC20" s="6">
        <v>2</v>
      </c>
      <c r="AD20" s="6">
        <v>2</v>
      </c>
      <c r="AE20" s="6">
        <v>3</v>
      </c>
    </row>
    <row r="21" spans="1:31">
      <c r="A21" s="6" t="s">
        <v>36</v>
      </c>
      <c r="B21" s="7" t="s">
        <v>92</v>
      </c>
      <c r="C21" s="7" t="s">
        <v>77</v>
      </c>
      <c r="D21" s="6">
        <v>2</v>
      </c>
      <c r="E21" s="6">
        <v>1</v>
      </c>
      <c r="F21" s="6">
        <v>2</v>
      </c>
      <c r="G21" s="6">
        <v>3</v>
      </c>
      <c r="H21" s="6">
        <v>3</v>
      </c>
      <c r="I21" s="6">
        <v>2</v>
      </c>
      <c r="J21" s="6">
        <v>2</v>
      </c>
      <c r="K21" s="6">
        <v>4</v>
      </c>
      <c r="L21" s="6">
        <v>2</v>
      </c>
      <c r="M21" s="7" t="s">
        <v>75</v>
      </c>
      <c r="N21" s="6">
        <v>1</v>
      </c>
      <c r="O21" s="6">
        <v>1</v>
      </c>
      <c r="P21" s="6">
        <v>1</v>
      </c>
      <c r="Q21" s="6">
        <v>0</v>
      </c>
      <c r="R21" s="6">
        <v>0</v>
      </c>
      <c r="S21" s="6">
        <v>1</v>
      </c>
      <c r="T21" s="6">
        <v>5</v>
      </c>
      <c r="U21" s="12">
        <f t="shared" si="0"/>
        <v>0.7142857142857143</v>
      </c>
      <c r="V21" s="6">
        <v>1</v>
      </c>
      <c r="W21" s="6">
        <v>3</v>
      </c>
      <c r="X21" s="6">
        <v>2</v>
      </c>
      <c r="Y21" s="6">
        <v>3</v>
      </c>
      <c r="Z21" s="6">
        <v>1</v>
      </c>
      <c r="AA21" s="6">
        <v>3</v>
      </c>
      <c r="AB21" s="6">
        <v>3</v>
      </c>
      <c r="AC21" s="6">
        <v>1</v>
      </c>
      <c r="AD21" s="6">
        <v>3</v>
      </c>
      <c r="AE21" s="6">
        <v>4</v>
      </c>
    </row>
    <row r="22" spans="1:31">
      <c r="A22" s="6" t="s">
        <v>37</v>
      </c>
      <c r="B22" s="7" t="s">
        <v>93</v>
      </c>
      <c r="C22" s="7" t="s">
        <v>137</v>
      </c>
      <c r="D22" s="6">
        <v>2</v>
      </c>
      <c r="E22" s="6">
        <v>1</v>
      </c>
      <c r="F22" s="6">
        <v>2</v>
      </c>
      <c r="G22" s="6">
        <v>3</v>
      </c>
      <c r="H22" s="6">
        <v>3</v>
      </c>
      <c r="I22" s="6">
        <v>2</v>
      </c>
      <c r="J22" s="6">
        <v>2</v>
      </c>
      <c r="K22" s="6">
        <v>4</v>
      </c>
      <c r="L22" s="6">
        <v>1</v>
      </c>
      <c r="M22" s="7" t="s">
        <v>166</v>
      </c>
      <c r="N22" s="6">
        <v>1</v>
      </c>
      <c r="O22" s="6">
        <v>1</v>
      </c>
      <c r="P22" s="6">
        <v>0</v>
      </c>
      <c r="Q22" s="6">
        <v>0</v>
      </c>
      <c r="R22" s="6">
        <v>0</v>
      </c>
      <c r="S22" s="6">
        <v>1</v>
      </c>
      <c r="T22" s="6">
        <v>4</v>
      </c>
      <c r="U22" s="12">
        <f t="shared" si="0"/>
        <v>0.5714285714285714</v>
      </c>
      <c r="V22" s="6">
        <v>3</v>
      </c>
      <c r="W22" s="6">
        <v>2</v>
      </c>
      <c r="X22" s="6">
        <v>1</v>
      </c>
      <c r="Y22" s="6">
        <v>3</v>
      </c>
      <c r="Z22" s="6">
        <v>1</v>
      </c>
      <c r="AA22" s="6">
        <v>3</v>
      </c>
      <c r="AB22" s="6">
        <v>3</v>
      </c>
      <c r="AC22" s="6">
        <v>3</v>
      </c>
      <c r="AD22" s="6">
        <v>3</v>
      </c>
      <c r="AE22" s="6">
        <v>4</v>
      </c>
    </row>
    <row r="23" spans="1:31">
      <c r="A23" s="6" t="s">
        <v>38</v>
      </c>
      <c r="B23" s="7" t="s">
        <v>94</v>
      </c>
      <c r="C23" s="7" t="s">
        <v>77</v>
      </c>
      <c r="D23" s="6">
        <v>3</v>
      </c>
      <c r="E23" s="6">
        <v>1</v>
      </c>
      <c r="F23" s="6">
        <v>2</v>
      </c>
      <c r="G23" s="6">
        <v>3</v>
      </c>
      <c r="H23" s="6">
        <v>3</v>
      </c>
      <c r="I23" s="6">
        <v>2</v>
      </c>
      <c r="J23" s="6">
        <v>2</v>
      </c>
      <c r="K23" s="6">
        <v>4</v>
      </c>
      <c r="L23" s="6">
        <v>1</v>
      </c>
      <c r="M23" s="7" t="s">
        <v>154</v>
      </c>
      <c r="N23" s="6">
        <v>1</v>
      </c>
      <c r="O23" s="6">
        <v>0</v>
      </c>
      <c r="P23" s="6">
        <v>0</v>
      </c>
      <c r="Q23" s="6">
        <v>0</v>
      </c>
      <c r="R23" s="6">
        <v>0</v>
      </c>
      <c r="S23" s="6">
        <v>1</v>
      </c>
      <c r="T23" s="6">
        <v>5</v>
      </c>
      <c r="U23" s="12">
        <f t="shared" si="0"/>
        <v>0.7142857142857143</v>
      </c>
      <c r="V23" s="6">
        <v>3</v>
      </c>
      <c r="W23" s="6">
        <v>3</v>
      </c>
      <c r="X23" s="6">
        <v>1</v>
      </c>
      <c r="Y23" s="6">
        <v>2</v>
      </c>
      <c r="Z23" s="6">
        <v>2</v>
      </c>
      <c r="AA23" s="6">
        <v>2</v>
      </c>
      <c r="AB23" s="6">
        <v>2</v>
      </c>
      <c r="AC23" s="6">
        <v>1</v>
      </c>
      <c r="AD23" s="6">
        <v>3</v>
      </c>
      <c r="AE23" s="6">
        <v>4</v>
      </c>
    </row>
    <row r="24" spans="1:31">
      <c r="A24" s="6" t="s">
        <v>39</v>
      </c>
      <c r="B24" s="7" t="s">
        <v>95</v>
      </c>
      <c r="C24" s="7" t="s">
        <v>77</v>
      </c>
      <c r="D24" s="6">
        <v>3</v>
      </c>
      <c r="E24" s="6">
        <v>1</v>
      </c>
      <c r="F24" s="6">
        <v>2</v>
      </c>
      <c r="G24" s="6">
        <v>3</v>
      </c>
      <c r="H24" s="6">
        <v>3</v>
      </c>
      <c r="I24" s="6">
        <v>2</v>
      </c>
      <c r="J24" s="6">
        <v>1</v>
      </c>
      <c r="K24" s="6">
        <v>4</v>
      </c>
      <c r="L24" s="6">
        <v>2</v>
      </c>
      <c r="M24" s="7" t="s">
        <v>154</v>
      </c>
      <c r="N24" s="6">
        <v>1</v>
      </c>
      <c r="O24" s="6">
        <v>1</v>
      </c>
      <c r="P24" s="6">
        <v>0</v>
      </c>
      <c r="Q24" s="6">
        <v>0</v>
      </c>
      <c r="R24" s="6">
        <v>0</v>
      </c>
      <c r="S24" s="6">
        <v>1</v>
      </c>
      <c r="T24" s="6">
        <v>5</v>
      </c>
      <c r="U24" s="12">
        <f t="shared" si="0"/>
        <v>0.7142857142857143</v>
      </c>
      <c r="V24" s="6">
        <v>1</v>
      </c>
      <c r="W24" s="6">
        <v>2</v>
      </c>
      <c r="X24" s="6">
        <v>2</v>
      </c>
      <c r="Y24" s="6">
        <v>3</v>
      </c>
      <c r="Z24" s="6">
        <v>2</v>
      </c>
      <c r="AA24" s="6">
        <v>3</v>
      </c>
      <c r="AB24" s="6">
        <v>3</v>
      </c>
      <c r="AC24" s="6">
        <v>1</v>
      </c>
      <c r="AD24" s="6">
        <v>3</v>
      </c>
      <c r="AE24" s="6">
        <v>4</v>
      </c>
    </row>
    <row r="25" spans="1:31">
      <c r="A25" s="6" t="s">
        <v>40</v>
      </c>
      <c r="B25" s="7" t="s">
        <v>97</v>
      </c>
      <c r="C25" s="7" t="s">
        <v>75</v>
      </c>
      <c r="D25" s="6">
        <v>3</v>
      </c>
      <c r="E25" s="6">
        <v>1</v>
      </c>
      <c r="F25" s="6">
        <v>2</v>
      </c>
      <c r="G25" s="6">
        <v>3</v>
      </c>
      <c r="H25" s="6">
        <v>4</v>
      </c>
      <c r="I25" s="6">
        <v>2</v>
      </c>
      <c r="J25" s="6">
        <v>2</v>
      </c>
      <c r="K25" s="6">
        <v>2</v>
      </c>
      <c r="L25" s="6">
        <v>2</v>
      </c>
      <c r="M25" s="7" t="s">
        <v>151</v>
      </c>
      <c r="N25" s="6">
        <v>0</v>
      </c>
      <c r="O25" s="6">
        <v>1</v>
      </c>
      <c r="P25" s="6">
        <v>0</v>
      </c>
      <c r="Q25" s="6">
        <v>1</v>
      </c>
      <c r="R25" s="6">
        <v>0</v>
      </c>
      <c r="S25" s="6">
        <v>1</v>
      </c>
      <c r="T25" s="6">
        <v>6</v>
      </c>
      <c r="U25" s="12">
        <f t="shared" si="0"/>
        <v>0.8571428571428571</v>
      </c>
      <c r="V25" s="6">
        <v>3</v>
      </c>
      <c r="W25" s="6">
        <v>2</v>
      </c>
      <c r="X25" s="6">
        <v>1</v>
      </c>
      <c r="Y25" s="6">
        <v>3</v>
      </c>
      <c r="Z25" s="6">
        <v>1</v>
      </c>
      <c r="AA25" s="6">
        <v>2</v>
      </c>
      <c r="AB25" s="6">
        <v>3</v>
      </c>
      <c r="AC25" s="6">
        <v>1</v>
      </c>
      <c r="AD25" s="6">
        <v>3</v>
      </c>
      <c r="AE25" s="6">
        <v>4</v>
      </c>
    </row>
    <row r="26" spans="1:31">
      <c r="A26" s="6" t="s">
        <v>41</v>
      </c>
      <c r="B26" s="7" t="s">
        <v>98</v>
      </c>
      <c r="C26" s="7" t="s">
        <v>137</v>
      </c>
      <c r="D26" s="6">
        <v>4</v>
      </c>
      <c r="E26" s="6">
        <v>1</v>
      </c>
      <c r="F26" s="6">
        <v>2</v>
      </c>
      <c r="G26" s="6">
        <v>3</v>
      </c>
      <c r="H26" s="6">
        <v>2</v>
      </c>
      <c r="I26" s="6">
        <v>3</v>
      </c>
      <c r="J26" s="6">
        <v>2</v>
      </c>
      <c r="K26" s="6">
        <v>4</v>
      </c>
      <c r="L26" s="6">
        <v>1</v>
      </c>
      <c r="M26" s="7" t="s">
        <v>155</v>
      </c>
      <c r="N26" s="6">
        <v>1</v>
      </c>
      <c r="O26" s="6">
        <v>0</v>
      </c>
      <c r="P26" s="6">
        <v>0</v>
      </c>
      <c r="Q26" s="6">
        <v>1</v>
      </c>
      <c r="R26" s="6">
        <v>0</v>
      </c>
      <c r="S26" s="6">
        <v>1</v>
      </c>
      <c r="T26" s="6">
        <v>7</v>
      </c>
      <c r="U26" s="12">
        <f t="shared" si="0"/>
        <v>1</v>
      </c>
      <c r="V26" s="6">
        <v>1</v>
      </c>
      <c r="W26" s="6">
        <v>2</v>
      </c>
      <c r="X26" s="6">
        <v>2</v>
      </c>
      <c r="Y26" s="6">
        <v>3</v>
      </c>
      <c r="Z26" s="6">
        <v>2</v>
      </c>
      <c r="AA26" s="6">
        <v>2</v>
      </c>
      <c r="AB26" s="6">
        <v>3</v>
      </c>
      <c r="AC26" s="6">
        <v>3</v>
      </c>
      <c r="AD26" s="6">
        <v>2</v>
      </c>
      <c r="AE26" s="6">
        <v>4</v>
      </c>
    </row>
    <row r="27" spans="1:31">
      <c r="A27" s="6" t="s">
        <v>42</v>
      </c>
      <c r="B27" s="7" t="s">
        <v>99</v>
      </c>
      <c r="C27" s="7" t="s">
        <v>100</v>
      </c>
      <c r="D27" s="6">
        <v>3</v>
      </c>
      <c r="E27" s="6">
        <v>1</v>
      </c>
      <c r="F27" s="6">
        <v>3</v>
      </c>
      <c r="G27" s="6">
        <v>3</v>
      </c>
      <c r="H27" s="6">
        <v>4</v>
      </c>
      <c r="I27" s="6">
        <v>3</v>
      </c>
      <c r="J27" s="6">
        <v>2</v>
      </c>
      <c r="K27" s="6">
        <v>4</v>
      </c>
      <c r="L27" s="6">
        <v>1</v>
      </c>
      <c r="M27" s="7" t="s">
        <v>85</v>
      </c>
      <c r="N27" s="6">
        <v>0</v>
      </c>
      <c r="O27" s="6">
        <v>0</v>
      </c>
      <c r="P27" s="6">
        <v>0</v>
      </c>
      <c r="Q27" s="6">
        <v>0</v>
      </c>
      <c r="R27" s="6">
        <v>0</v>
      </c>
      <c r="S27" s="6">
        <v>1</v>
      </c>
      <c r="T27" s="6">
        <v>2</v>
      </c>
      <c r="U27" s="12">
        <f t="shared" si="0"/>
        <v>0.2857142857142857</v>
      </c>
      <c r="V27" s="6">
        <v>1</v>
      </c>
      <c r="W27" s="6">
        <v>2</v>
      </c>
      <c r="X27" s="6">
        <v>3</v>
      </c>
      <c r="Y27" s="6">
        <v>2</v>
      </c>
      <c r="Z27" s="6">
        <v>1</v>
      </c>
      <c r="AA27" s="6">
        <v>3</v>
      </c>
      <c r="AB27" s="6">
        <v>2</v>
      </c>
      <c r="AC27" s="6">
        <v>3</v>
      </c>
      <c r="AD27" s="6">
        <v>3</v>
      </c>
      <c r="AE27" s="6">
        <v>4</v>
      </c>
    </row>
    <row r="28" spans="1:31">
      <c r="A28" s="6" t="s">
        <v>43</v>
      </c>
      <c r="B28" s="7" t="s">
        <v>101</v>
      </c>
      <c r="C28" s="7" t="s">
        <v>102</v>
      </c>
      <c r="D28" s="6">
        <v>3</v>
      </c>
      <c r="E28" s="6">
        <v>1</v>
      </c>
      <c r="F28" s="6">
        <v>2</v>
      </c>
      <c r="G28" s="6">
        <v>3</v>
      </c>
      <c r="H28" s="6">
        <v>3</v>
      </c>
      <c r="I28" s="6">
        <v>3</v>
      </c>
      <c r="J28" s="6">
        <v>2</v>
      </c>
      <c r="K28" s="6">
        <v>3</v>
      </c>
      <c r="L28" s="6">
        <v>2</v>
      </c>
      <c r="M28" s="7" t="s">
        <v>150</v>
      </c>
      <c r="N28" s="6">
        <v>0</v>
      </c>
      <c r="O28" s="6">
        <v>0</v>
      </c>
      <c r="P28" s="6">
        <v>0</v>
      </c>
      <c r="Q28" s="6">
        <v>1</v>
      </c>
      <c r="R28" s="6">
        <v>1</v>
      </c>
      <c r="S28" s="6">
        <v>0</v>
      </c>
      <c r="T28" s="6">
        <v>3</v>
      </c>
      <c r="U28" s="12">
        <f t="shared" si="0"/>
        <v>0.42857142857142855</v>
      </c>
      <c r="V28" s="6">
        <v>1</v>
      </c>
      <c r="W28" s="6">
        <v>2</v>
      </c>
      <c r="X28" s="6">
        <v>4</v>
      </c>
      <c r="Y28" s="6">
        <v>3</v>
      </c>
      <c r="Z28" s="6">
        <v>1</v>
      </c>
      <c r="AA28" s="6">
        <v>3</v>
      </c>
      <c r="AB28" s="6">
        <v>3</v>
      </c>
      <c r="AC28" s="6">
        <v>2</v>
      </c>
      <c r="AD28" s="6">
        <v>3</v>
      </c>
      <c r="AE28" s="6">
        <v>3</v>
      </c>
    </row>
    <row r="29" spans="1:31">
      <c r="A29" s="6" t="s">
        <v>44</v>
      </c>
      <c r="B29" s="7" t="s">
        <v>103</v>
      </c>
      <c r="C29" s="7" t="s">
        <v>96</v>
      </c>
      <c r="D29" s="6">
        <v>3</v>
      </c>
      <c r="E29" s="6">
        <v>1</v>
      </c>
      <c r="F29" s="6">
        <v>2</v>
      </c>
      <c r="G29" s="6">
        <v>3</v>
      </c>
      <c r="H29" s="6">
        <v>2</v>
      </c>
      <c r="I29" s="6">
        <v>3</v>
      </c>
      <c r="J29" s="6">
        <v>2</v>
      </c>
      <c r="K29" s="6">
        <v>4</v>
      </c>
      <c r="L29" s="6">
        <v>2</v>
      </c>
      <c r="M29" s="7" t="s">
        <v>156</v>
      </c>
      <c r="N29" s="6">
        <v>0</v>
      </c>
      <c r="O29" s="6">
        <v>0</v>
      </c>
      <c r="P29" s="6">
        <v>0</v>
      </c>
      <c r="Q29" s="6">
        <v>1</v>
      </c>
      <c r="R29" s="6">
        <v>0</v>
      </c>
      <c r="S29" s="6">
        <v>1</v>
      </c>
      <c r="T29" s="6">
        <v>3</v>
      </c>
      <c r="U29" s="12">
        <f t="shared" si="0"/>
        <v>0.42857142857142855</v>
      </c>
      <c r="V29" s="6">
        <v>1</v>
      </c>
      <c r="W29" s="6">
        <v>2</v>
      </c>
      <c r="X29" s="6">
        <v>4</v>
      </c>
      <c r="Y29" s="6">
        <v>3</v>
      </c>
      <c r="Z29" s="6">
        <v>1</v>
      </c>
      <c r="AA29" s="6">
        <v>3</v>
      </c>
      <c r="AB29" s="6">
        <v>2</v>
      </c>
      <c r="AC29" s="6">
        <v>3</v>
      </c>
      <c r="AD29" s="6">
        <v>3</v>
      </c>
      <c r="AE29" s="6">
        <v>3</v>
      </c>
    </row>
    <row r="30" spans="1:31">
      <c r="A30" s="6" t="s">
        <v>45</v>
      </c>
      <c r="B30" s="7" t="s">
        <v>104</v>
      </c>
      <c r="C30" s="7" t="s">
        <v>79</v>
      </c>
      <c r="D30" s="6">
        <v>3</v>
      </c>
      <c r="E30" s="6">
        <v>1</v>
      </c>
      <c r="F30" s="6">
        <v>2</v>
      </c>
      <c r="G30" s="6">
        <v>3</v>
      </c>
      <c r="H30" s="6">
        <v>4</v>
      </c>
      <c r="I30" s="6">
        <v>3</v>
      </c>
      <c r="J30" s="6">
        <v>2</v>
      </c>
      <c r="K30" s="6">
        <v>4</v>
      </c>
      <c r="L30" s="6">
        <v>7</v>
      </c>
      <c r="M30" s="7" t="s">
        <v>157</v>
      </c>
      <c r="N30" s="6">
        <v>1</v>
      </c>
      <c r="O30" s="6">
        <v>1</v>
      </c>
      <c r="P30" s="6">
        <v>1</v>
      </c>
      <c r="Q30" s="6">
        <v>1</v>
      </c>
      <c r="R30" s="6">
        <v>1</v>
      </c>
      <c r="S30" s="6">
        <v>1</v>
      </c>
      <c r="T30" s="6">
        <v>4</v>
      </c>
      <c r="U30" s="12">
        <f t="shared" si="0"/>
        <v>0.5714285714285714</v>
      </c>
      <c r="V30" s="6">
        <v>3</v>
      </c>
      <c r="W30" s="6">
        <v>2</v>
      </c>
      <c r="X30" s="6">
        <v>5</v>
      </c>
      <c r="Y30" s="6">
        <v>2</v>
      </c>
      <c r="Z30" s="6">
        <v>1</v>
      </c>
      <c r="AA30" s="6">
        <v>2</v>
      </c>
      <c r="AB30" s="6">
        <v>2</v>
      </c>
      <c r="AC30" s="6">
        <v>3</v>
      </c>
      <c r="AD30" s="6">
        <v>2</v>
      </c>
      <c r="AE30" s="6">
        <v>3</v>
      </c>
    </row>
    <row r="31" spans="1:31">
      <c r="A31" s="6" t="s">
        <v>46</v>
      </c>
      <c r="B31" s="7" t="s">
        <v>105</v>
      </c>
      <c r="C31" s="7" t="s">
        <v>106</v>
      </c>
      <c r="D31" s="6">
        <v>4</v>
      </c>
      <c r="E31" s="6">
        <v>1</v>
      </c>
      <c r="F31" s="6">
        <v>2</v>
      </c>
      <c r="G31" s="6">
        <v>2</v>
      </c>
      <c r="H31" s="6">
        <v>3</v>
      </c>
      <c r="I31" s="6">
        <v>3</v>
      </c>
      <c r="J31" s="6">
        <v>2</v>
      </c>
      <c r="K31" s="6">
        <v>4</v>
      </c>
      <c r="L31" s="6">
        <v>2</v>
      </c>
      <c r="M31" s="7" t="s">
        <v>150</v>
      </c>
      <c r="N31" s="6">
        <v>0</v>
      </c>
      <c r="O31" s="6">
        <v>0</v>
      </c>
      <c r="P31" s="6">
        <v>0</v>
      </c>
      <c r="Q31" s="6">
        <v>1</v>
      </c>
      <c r="R31" s="6">
        <v>0</v>
      </c>
      <c r="S31" s="6">
        <v>1</v>
      </c>
      <c r="T31" s="6">
        <v>3</v>
      </c>
      <c r="U31" s="12">
        <f t="shared" si="0"/>
        <v>0.42857142857142855</v>
      </c>
      <c r="V31" s="6">
        <v>1</v>
      </c>
      <c r="W31" s="6">
        <v>3</v>
      </c>
      <c r="X31" s="6">
        <v>5</v>
      </c>
      <c r="Y31" s="6">
        <v>2</v>
      </c>
      <c r="Z31" s="6">
        <v>1</v>
      </c>
      <c r="AA31" s="6">
        <v>2</v>
      </c>
      <c r="AB31" s="6">
        <v>2</v>
      </c>
      <c r="AC31" s="6">
        <v>2</v>
      </c>
      <c r="AD31" s="6">
        <v>3</v>
      </c>
      <c r="AE31" s="6">
        <v>4</v>
      </c>
    </row>
    <row r="32" spans="1:31">
      <c r="A32" s="6" t="s">
        <v>47</v>
      </c>
      <c r="B32" s="7" t="s">
        <v>107</v>
      </c>
      <c r="C32" s="7" t="s">
        <v>77</v>
      </c>
      <c r="D32" s="6">
        <v>4</v>
      </c>
      <c r="E32" s="6">
        <v>1</v>
      </c>
      <c r="F32" s="6">
        <v>2</v>
      </c>
      <c r="G32" s="6">
        <v>3</v>
      </c>
      <c r="H32" s="6">
        <v>3</v>
      </c>
      <c r="I32" s="6">
        <v>3</v>
      </c>
      <c r="J32" s="6">
        <v>1</v>
      </c>
      <c r="K32" s="6">
        <v>4</v>
      </c>
      <c r="L32" s="6">
        <v>2</v>
      </c>
      <c r="M32" s="7" t="s">
        <v>151</v>
      </c>
      <c r="N32" s="6">
        <v>0</v>
      </c>
      <c r="O32" s="6">
        <v>1</v>
      </c>
      <c r="P32" s="6">
        <v>1</v>
      </c>
      <c r="Q32" s="6">
        <v>1</v>
      </c>
      <c r="R32" s="6">
        <v>0</v>
      </c>
      <c r="S32" s="6">
        <v>0</v>
      </c>
      <c r="T32" s="6">
        <v>4</v>
      </c>
      <c r="U32" s="12">
        <f t="shared" si="0"/>
        <v>0.5714285714285714</v>
      </c>
      <c r="V32" s="6">
        <v>1</v>
      </c>
      <c r="W32" s="6">
        <v>3</v>
      </c>
      <c r="X32" s="6">
        <v>3</v>
      </c>
      <c r="Y32" s="6">
        <v>2</v>
      </c>
      <c r="Z32" s="6">
        <v>1</v>
      </c>
      <c r="AA32" s="6">
        <v>2</v>
      </c>
      <c r="AB32" s="6">
        <v>2</v>
      </c>
      <c r="AC32" s="6">
        <v>2</v>
      </c>
      <c r="AD32" s="6">
        <v>3</v>
      </c>
      <c r="AE32" s="6">
        <v>3</v>
      </c>
    </row>
    <row r="33" spans="1:31">
      <c r="A33" s="6" t="s">
        <v>48</v>
      </c>
      <c r="B33" s="7" t="s">
        <v>108</v>
      </c>
      <c r="C33" s="7" t="s">
        <v>138</v>
      </c>
      <c r="D33" s="6">
        <v>3</v>
      </c>
      <c r="E33" s="6">
        <v>1</v>
      </c>
      <c r="F33" s="6">
        <v>2</v>
      </c>
      <c r="G33" s="6">
        <v>3</v>
      </c>
      <c r="H33" s="6">
        <v>2</v>
      </c>
      <c r="I33" s="6">
        <v>3</v>
      </c>
      <c r="J33" s="6">
        <v>1</v>
      </c>
      <c r="K33" s="6">
        <v>2</v>
      </c>
      <c r="L33" s="6">
        <v>1</v>
      </c>
      <c r="M33" s="7" t="s">
        <v>148</v>
      </c>
      <c r="N33" s="6">
        <v>0</v>
      </c>
      <c r="O33" s="6">
        <v>0</v>
      </c>
      <c r="P33" s="6">
        <v>0</v>
      </c>
      <c r="Q33" s="6">
        <v>0</v>
      </c>
      <c r="R33" s="6">
        <v>0</v>
      </c>
      <c r="S33" s="6">
        <v>1</v>
      </c>
      <c r="T33" s="6">
        <v>2</v>
      </c>
      <c r="U33" s="12">
        <f t="shared" si="0"/>
        <v>0.2857142857142857</v>
      </c>
      <c r="V33" s="6">
        <v>1</v>
      </c>
      <c r="W33" s="6">
        <v>3</v>
      </c>
      <c r="X33" s="6">
        <v>5</v>
      </c>
      <c r="Y33" s="6">
        <v>3</v>
      </c>
      <c r="Z33" s="6">
        <v>1</v>
      </c>
      <c r="AA33" s="6">
        <v>3</v>
      </c>
      <c r="AB33" s="6">
        <v>2</v>
      </c>
      <c r="AC33" s="6">
        <v>2</v>
      </c>
      <c r="AD33" s="6">
        <v>3</v>
      </c>
      <c r="AE33" s="6">
        <v>3</v>
      </c>
    </row>
    <row r="34" spans="1:31">
      <c r="A34" s="6" t="s">
        <v>49</v>
      </c>
      <c r="B34" s="7" t="s">
        <v>109</v>
      </c>
      <c r="C34" s="7" t="s">
        <v>138</v>
      </c>
      <c r="D34" s="6">
        <v>3</v>
      </c>
      <c r="E34" s="6">
        <v>1</v>
      </c>
      <c r="F34" s="6">
        <v>2</v>
      </c>
      <c r="G34" s="6">
        <v>3</v>
      </c>
      <c r="H34" s="6">
        <v>1</v>
      </c>
      <c r="I34" s="6">
        <v>3</v>
      </c>
      <c r="J34" s="6">
        <v>2</v>
      </c>
      <c r="K34" s="6">
        <v>4</v>
      </c>
      <c r="L34" s="6">
        <v>2</v>
      </c>
      <c r="M34" s="10" t="s">
        <v>151</v>
      </c>
      <c r="N34" s="6">
        <v>0</v>
      </c>
      <c r="O34" s="6">
        <v>1</v>
      </c>
      <c r="P34" s="6">
        <v>1</v>
      </c>
      <c r="Q34" s="6">
        <v>0</v>
      </c>
      <c r="R34" s="6">
        <v>1</v>
      </c>
      <c r="S34" s="6">
        <v>0</v>
      </c>
      <c r="T34" s="6">
        <v>6</v>
      </c>
      <c r="U34" s="12">
        <f t="shared" si="0"/>
        <v>0.8571428571428571</v>
      </c>
      <c r="V34" s="6">
        <v>3</v>
      </c>
      <c r="W34" s="6">
        <v>2</v>
      </c>
      <c r="X34" s="6">
        <v>5</v>
      </c>
      <c r="Y34" s="6">
        <v>2</v>
      </c>
      <c r="Z34" s="6">
        <v>2</v>
      </c>
      <c r="AA34" s="6">
        <v>3</v>
      </c>
      <c r="AB34" s="6">
        <v>1</v>
      </c>
      <c r="AC34" s="6">
        <v>2</v>
      </c>
      <c r="AD34" s="6">
        <v>2</v>
      </c>
      <c r="AE34" s="6">
        <v>4</v>
      </c>
    </row>
    <row r="35" spans="1:31">
      <c r="A35" s="6" t="s">
        <v>50</v>
      </c>
      <c r="B35" s="7" t="s">
        <v>110</v>
      </c>
      <c r="C35" s="7" t="s">
        <v>75</v>
      </c>
      <c r="D35" s="6">
        <v>4</v>
      </c>
      <c r="E35" s="6">
        <v>1</v>
      </c>
      <c r="F35" s="6">
        <v>4</v>
      </c>
      <c r="G35" s="6">
        <v>1</v>
      </c>
      <c r="H35" s="6">
        <v>1</v>
      </c>
      <c r="I35" s="6">
        <v>3</v>
      </c>
      <c r="J35" s="6">
        <v>3</v>
      </c>
      <c r="K35" s="6">
        <v>4</v>
      </c>
      <c r="L35" s="6">
        <v>2</v>
      </c>
      <c r="M35" s="10" t="s">
        <v>167</v>
      </c>
      <c r="N35" s="6">
        <v>1</v>
      </c>
      <c r="O35" s="6">
        <v>1</v>
      </c>
      <c r="P35" s="6">
        <v>1</v>
      </c>
      <c r="Q35" s="6">
        <v>0</v>
      </c>
      <c r="R35" s="6">
        <v>0</v>
      </c>
      <c r="S35" s="6">
        <v>1</v>
      </c>
      <c r="T35" s="6">
        <v>5</v>
      </c>
      <c r="U35" s="12">
        <f t="shared" si="0"/>
        <v>0.7142857142857143</v>
      </c>
      <c r="V35" s="6">
        <v>1</v>
      </c>
      <c r="W35" s="6">
        <v>2</v>
      </c>
      <c r="X35" s="6">
        <v>4</v>
      </c>
      <c r="Y35" s="6">
        <v>3</v>
      </c>
      <c r="Z35" s="6">
        <v>2</v>
      </c>
      <c r="AA35" s="6">
        <v>3</v>
      </c>
      <c r="AB35" s="6">
        <v>2</v>
      </c>
      <c r="AC35" s="6">
        <v>2</v>
      </c>
      <c r="AD35" s="6">
        <v>3</v>
      </c>
      <c r="AE35" s="6">
        <v>4</v>
      </c>
    </row>
    <row r="36" spans="1:31">
      <c r="A36" s="6" t="s">
        <v>51</v>
      </c>
      <c r="B36" s="7" t="s">
        <v>111</v>
      </c>
      <c r="C36" s="7" t="s">
        <v>112</v>
      </c>
      <c r="D36" s="6">
        <v>3</v>
      </c>
      <c r="E36" s="6">
        <v>1</v>
      </c>
      <c r="F36" s="6">
        <v>2</v>
      </c>
      <c r="G36" s="6">
        <v>3</v>
      </c>
      <c r="H36" s="6">
        <v>3</v>
      </c>
      <c r="I36" s="6">
        <v>4</v>
      </c>
      <c r="J36" s="6">
        <v>3</v>
      </c>
      <c r="K36" s="6">
        <v>4</v>
      </c>
      <c r="L36" s="6">
        <v>6</v>
      </c>
      <c r="M36" s="7" t="s">
        <v>158</v>
      </c>
      <c r="N36" s="6">
        <v>1</v>
      </c>
      <c r="O36" s="6">
        <v>1</v>
      </c>
      <c r="P36" s="6">
        <v>1</v>
      </c>
      <c r="Q36" s="6">
        <v>1</v>
      </c>
      <c r="R36" s="6">
        <v>1</v>
      </c>
      <c r="S36" s="6">
        <v>1</v>
      </c>
      <c r="T36" s="6">
        <v>4</v>
      </c>
      <c r="U36" s="12">
        <f t="shared" si="0"/>
        <v>0.5714285714285714</v>
      </c>
      <c r="V36" s="6">
        <v>1</v>
      </c>
      <c r="W36" s="6">
        <v>2</v>
      </c>
      <c r="X36" s="6">
        <v>2</v>
      </c>
      <c r="Y36" s="6">
        <v>4</v>
      </c>
      <c r="Z36" s="6">
        <v>1</v>
      </c>
      <c r="AA36" s="6">
        <v>3</v>
      </c>
      <c r="AB36" s="6">
        <v>1</v>
      </c>
      <c r="AC36" s="6">
        <v>3</v>
      </c>
      <c r="AD36" s="6">
        <v>3</v>
      </c>
      <c r="AE36" s="6">
        <v>4</v>
      </c>
    </row>
    <row r="37" spans="1:31">
      <c r="A37" s="6" t="s">
        <v>52</v>
      </c>
      <c r="B37" s="7" t="s">
        <v>113</v>
      </c>
      <c r="C37" s="7" t="s">
        <v>79</v>
      </c>
      <c r="D37" s="6">
        <v>3</v>
      </c>
      <c r="E37" s="6">
        <v>1</v>
      </c>
      <c r="F37" s="6">
        <v>3</v>
      </c>
      <c r="G37" s="6">
        <v>3</v>
      </c>
      <c r="H37" s="6">
        <v>3</v>
      </c>
      <c r="I37" s="6">
        <v>4</v>
      </c>
      <c r="J37" s="6">
        <v>2</v>
      </c>
      <c r="K37" s="6">
        <v>4</v>
      </c>
      <c r="L37" s="6">
        <v>2</v>
      </c>
      <c r="M37" s="7" t="s">
        <v>159</v>
      </c>
      <c r="N37" s="6">
        <v>1</v>
      </c>
      <c r="O37" s="6">
        <v>1</v>
      </c>
      <c r="P37" s="6">
        <v>0</v>
      </c>
      <c r="Q37" s="6">
        <v>0</v>
      </c>
      <c r="R37" s="6">
        <v>0</v>
      </c>
      <c r="S37" s="6">
        <v>0</v>
      </c>
      <c r="T37" s="6">
        <v>3</v>
      </c>
      <c r="U37" s="12">
        <f t="shared" si="0"/>
        <v>0.42857142857142855</v>
      </c>
      <c r="V37" s="6">
        <v>3</v>
      </c>
      <c r="W37" s="6">
        <v>2</v>
      </c>
      <c r="X37" s="6">
        <v>4</v>
      </c>
      <c r="Y37" s="6">
        <v>3</v>
      </c>
      <c r="Z37" s="6">
        <v>1</v>
      </c>
      <c r="AA37" s="6">
        <v>3</v>
      </c>
      <c r="AB37" s="6">
        <v>4</v>
      </c>
      <c r="AC37" s="6">
        <v>1</v>
      </c>
      <c r="AD37" s="6">
        <v>3</v>
      </c>
      <c r="AE37" s="6">
        <v>4</v>
      </c>
    </row>
    <row r="38" spans="1:31">
      <c r="A38" s="6" t="s">
        <v>53</v>
      </c>
      <c r="B38" s="7" t="s">
        <v>114</v>
      </c>
      <c r="C38" s="7" t="s">
        <v>96</v>
      </c>
      <c r="D38" s="6">
        <v>3</v>
      </c>
      <c r="E38" s="6">
        <v>1</v>
      </c>
      <c r="F38" s="6">
        <v>3</v>
      </c>
      <c r="G38" s="6">
        <v>3</v>
      </c>
      <c r="H38" s="6">
        <v>2</v>
      </c>
      <c r="I38" s="6">
        <v>4</v>
      </c>
      <c r="J38" s="6">
        <v>1</v>
      </c>
      <c r="K38" s="6">
        <v>4</v>
      </c>
      <c r="L38" s="6">
        <v>2</v>
      </c>
      <c r="M38" s="7" t="s">
        <v>160</v>
      </c>
      <c r="N38" s="6">
        <v>0</v>
      </c>
      <c r="O38" s="6">
        <v>1</v>
      </c>
      <c r="P38" s="6">
        <v>1</v>
      </c>
      <c r="Q38" s="6">
        <v>0</v>
      </c>
      <c r="R38" s="6">
        <v>0</v>
      </c>
      <c r="S38" s="6">
        <v>0</v>
      </c>
      <c r="T38" s="6">
        <v>5</v>
      </c>
      <c r="U38" s="12">
        <f t="shared" si="0"/>
        <v>0.7142857142857143</v>
      </c>
      <c r="V38" s="6">
        <v>3</v>
      </c>
      <c r="W38" s="6">
        <v>2</v>
      </c>
      <c r="X38" s="6">
        <v>5</v>
      </c>
      <c r="Y38" s="6">
        <v>2</v>
      </c>
      <c r="Z38" s="6">
        <v>1</v>
      </c>
      <c r="AA38" s="6">
        <v>3</v>
      </c>
      <c r="AB38" s="6">
        <v>4</v>
      </c>
      <c r="AC38" s="6">
        <v>1</v>
      </c>
      <c r="AD38" s="6">
        <v>2</v>
      </c>
      <c r="AE38" s="6">
        <v>4</v>
      </c>
    </row>
    <row r="39" spans="1:31">
      <c r="A39" s="6" t="s">
        <v>54</v>
      </c>
      <c r="B39" s="7" t="s">
        <v>115</v>
      </c>
      <c r="C39" s="7" t="s">
        <v>75</v>
      </c>
      <c r="D39" s="6">
        <v>2</v>
      </c>
      <c r="E39" s="6">
        <v>1</v>
      </c>
      <c r="F39" s="6">
        <v>2</v>
      </c>
      <c r="G39" s="6">
        <v>3</v>
      </c>
      <c r="H39" s="6">
        <v>1</v>
      </c>
      <c r="I39" s="6">
        <v>4</v>
      </c>
      <c r="J39" s="6">
        <v>2</v>
      </c>
      <c r="K39" s="6">
        <v>3</v>
      </c>
      <c r="L39" s="6">
        <v>2</v>
      </c>
      <c r="M39" s="7" t="s">
        <v>164</v>
      </c>
      <c r="N39" s="6">
        <v>0</v>
      </c>
      <c r="O39" s="6">
        <v>1</v>
      </c>
      <c r="P39" s="6">
        <v>0</v>
      </c>
      <c r="Q39" s="6">
        <v>0</v>
      </c>
      <c r="R39" s="6">
        <v>0</v>
      </c>
      <c r="S39" s="6">
        <v>1</v>
      </c>
      <c r="T39" s="6">
        <v>3</v>
      </c>
      <c r="U39" s="12">
        <f t="shared" si="0"/>
        <v>0.42857142857142855</v>
      </c>
      <c r="V39" s="6">
        <v>3</v>
      </c>
      <c r="W39" s="6">
        <v>3</v>
      </c>
      <c r="X39" s="6">
        <v>6</v>
      </c>
      <c r="Y39" s="6">
        <v>3</v>
      </c>
      <c r="Z39" s="6">
        <v>1</v>
      </c>
      <c r="AA39" s="6">
        <v>3</v>
      </c>
      <c r="AB39" s="6">
        <v>4</v>
      </c>
      <c r="AC39" s="6">
        <v>1</v>
      </c>
      <c r="AD39" s="6">
        <v>3</v>
      </c>
      <c r="AE39" s="6">
        <v>3</v>
      </c>
    </row>
    <row r="40" spans="1:31">
      <c r="A40" s="6" t="s">
        <v>55</v>
      </c>
      <c r="B40" s="7" t="s">
        <v>116</v>
      </c>
      <c r="C40" s="7" t="s">
        <v>85</v>
      </c>
      <c r="D40" s="6">
        <v>2</v>
      </c>
      <c r="E40" s="6">
        <v>1</v>
      </c>
      <c r="F40" s="6">
        <v>2</v>
      </c>
      <c r="G40" s="6">
        <v>3</v>
      </c>
      <c r="H40" s="6">
        <v>4</v>
      </c>
      <c r="I40" s="6">
        <v>4</v>
      </c>
      <c r="J40" s="6">
        <v>3</v>
      </c>
      <c r="K40" s="6">
        <v>4</v>
      </c>
      <c r="L40" s="6">
        <v>2</v>
      </c>
      <c r="M40" s="7" t="s">
        <v>161</v>
      </c>
      <c r="N40" s="6">
        <v>0</v>
      </c>
      <c r="O40" s="6">
        <v>1</v>
      </c>
      <c r="P40" s="6">
        <v>0</v>
      </c>
      <c r="Q40" s="6">
        <v>0</v>
      </c>
      <c r="R40" s="6">
        <v>0</v>
      </c>
      <c r="S40" s="6">
        <v>0</v>
      </c>
      <c r="T40" s="6">
        <v>2</v>
      </c>
      <c r="U40" s="12">
        <f t="shared" si="0"/>
        <v>0.2857142857142857</v>
      </c>
      <c r="V40" s="6">
        <v>3</v>
      </c>
      <c r="W40" s="6">
        <v>2</v>
      </c>
      <c r="X40" s="6">
        <v>5</v>
      </c>
      <c r="Y40" s="6">
        <v>2</v>
      </c>
      <c r="Z40" s="6">
        <v>1</v>
      </c>
      <c r="AA40" s="6">
        <v>3</v>
      </c>
      <c r="AB40" s="6">
        <v>3</v>
      </c>
      <c r="AC40" s="6">
        <v>3</v>
      </c>
      <c r="AD40" s="6">
        <v>3</v>
      </c>
      <c r="AE40" s="6">
        <v>4</v>
      </c>
    </row>
    <row r="41" spans="1:31">
      <c r="A41" s="6" t="s">
        <v>56</v>
      </c>
      <c r="B41" s="7" t="s">
        <v>117</v>
      </c>
      <c r="C41" s="7" t="s">
        <v>118</v>
      </c>
      <c r="D41" s="6">
        <v>2</v>
      </c>
      <c r="E41" s="6">
        <v>1</v>
      </c>
      <c r="F41" s="6">
        <v>2</v>
      </c>
      <c r="G41" s="6">
        <v>3</v>
      </c>
      <c r="H41" s="6">
        <v>3</v>
      </c>
      <c r="I41" s="6">
        <v>4</v>
      </c>
      <c r="J41" s="6">
        <v>3</v>
      </c>
      <c r="K41" s="6">
        <v>3</v>
      </c>
      <c r="L41" s="6">
        <v>2</v>
      </c>
      <c r="M41" s="7" t="s">
        <v>162</v>
      </c>
      <c r="N41" s="6">
        <v>1</v>
      </c>
      <c r="O41" s="6">
        <v>0</v>
      </c>
      <c r="P41" s="6">
        <v>1</v>
      </c>
      <c r="Q41" s="6">
        <v>0</v>
      </c>
      <c r="R41" s="6">
        <v>0</v>
      </c>
      <c r="S41" s="6">
        <v>0</v>
      </c>
      <c r="T41" s="6">
        <v>3</v>
      </c>
      <c r="U41" s="12">
        <f t="shared" si="0"/>
        <v>0.42857142857142855</v>
      </c>
      <c r="V41" s="6">
        <v>1</v>
      </c>
      <c r="W41" s="6">
        <v>2</v>
      </c>
      <c r="X41" s="6">
        <v>5</v>
      </c>
      <c r="Y41" s="6">
        <v>2</v>
      </c>
      <c r="Z41" s="6">
        <v>1</v>
      </c>
      <c r="AA41" s="6">
        <v>3</v>
      </c>
      <c r="AB41" s="6">
        <v>3</v>
      </c>
      <c r="AC41" s="6">
        <v>3</v>
      </c>
      <c r="AD41" s="6">
        <v>3</v>
      </c>
      <c r="AE41" s="6">
        <v>4</v>
      </c>
    </row>
    <row r="42" spans="1:31">
      <c r="A42" s="6" t="s">
        <v>57</v>
      </c>
      <c r="B42" s="7" t="s">
        <v>119</v>
      </c>
      <c r="C42" s="7" t="s">
        <v>118</v>
      </c>
      <c r="D42" s="6">
        <v>3</v>
      </c>
      <c r="E42" s="6">
        <v>1</v>
      </c>
      <c r="F42" s="6">
        <v>3</v>
      </c>
      <c r="G42" s="6">
        <v>3</v>
      </c>
      <c r="H42" s="6">
        <v>4</v>
      </c>
      <c r="I42" s="6">
        <v>4</v>
      </c>
      <c r="J42" s="6">
        <v>2</v>
      </c>
      <c r="K42" s="6">
        <v>4</v>
      </c>
      <c r="L42" s="6">
        <v>2</v>
      </c>
      <c r="M42" s="7" t="s">
        <v>163</v>
      </c>
      <c r="N42" s="6">
        <v>0</v>
      </c>
      <c r="O42" s="6">
        <v>0</v>
      </c>
      <c r="P42" s="6">
        <v>0</v>
      </c>
      <c r="Q42" s="6">
        <v>0</v>
      </c>
      <c r="R42" s="6">
        <v>0</v>
      </c>
      <c r="S42" s="6">
        <v>0</v>
      </c>
      <c r="T42" s="6">
        <v>2</v>
      </c>
      <c r="U42" s="12">
        <f t="shared" si="0"/>
        <v>0.2857142857142857</v>
      </c>
      <c r="V42" s="6">
        <v>1</v>
      </c>
      <c r="W42" s="6">
        <v>2</v>
      </c>
      <c r="X42" s="6">
        <v>5</v>
      </c>
      <c r="Y42" s="6">
        <v>2</v>
      </c>
      <c r="Z42" s="6">
        <v>2</v>
      </c>
      <c r="AA42" s="6">
        <v>2</v>
      </c>
      <c r="AB42" s="6">
        <v>2</v>
      </c>
      <c r="AC42" s="6">
        <v>2</v>
      </c>
      <c r="AD42" s="6">
        <v>1</v>
      </c>
      <c r="AE42" s="6">
        <v>4</v>
      </c>
    </row>
    <row r="43" spans="1:31">
      <c r="A43" s="6" t="s">
        <v>58</v>
      </c>
      <c r="B43" s="7" t="s">
        <v>120</v>
      </c>
      <c r="C43" s="7" t="s">
        <v>121</v>
      </c>
      <c r="D43" s="6">
        <v>4</v>
      </c>
      <c r="E43" s="6">
        <v>1</v>
      </c>
      <c r="F43" s="6">
        <v>2</v>
      </c>
      <c r="G43" s="6">
        <v>3</v>
      </c>
      <c r="H43" s="6">
        <v>3</v>
      </c>
      <c r="I43" s="6">
        <v>4</v>
      </c>
      <c r="J43" s="6">
        <v>3</v>
      </c>
      <c r="K43" s="6">
        <v>2</v>
      </c>
      <c r="L43" s="6">
        <v>2</v>
      </c>
      <c r="M43" s="7" t="s">
        <v>162</v>
      </c>
      <c r="N43" s="6">
        <v>1</v>
      </c>
      <c r="O43" s="6">
        <v>0</v>
      </c>
      <c r="P43" s="6">
        <v>0</v>
      </c>
      <c r="Q43" s="6">
        <v>0</v>
      </c>
      <c r="R43" s="6">
        <v>1</v>
      </c>
      <c r="S43" s="6">
        <v>1</v>
      </c>
      <c r="T43" s="6">
        <v>3</v>
      </c>
      <c r="U43" s="12">
        <f t="shared" si="0"/>
        <v>0.42857142857142855</v>
      </c>
      <c r="V43" s="6">
        <v>1</v>
      </c>
      <c r="W43" s="6">
        <v>2</v>
      </c>
      <c r="X43" s="6">
        <v>5</v>
      </c>
      <c r="Y43" s="6">
        <v>2</v>
      </c>
      <c r="Z43" s="6">
        <v>1</v>
      </c>
      <c r="AA43" s="6">
        <v>3</v>
      </c>
      <c r="AB43" s="6">
        <v>4</v>
      </c>
      <c r="AC43" s="6">
        <v>3</v>
      </c>
      <c r="AD43" s="6">
        <v>3</v>
      </c>
      <c r="AE43" s="6">
        <v>3</v>
      </c>
    </row>
    <row r="44" spans="1:31">
      <c r="A44" s="6" t="s">
        <v>59</v>
      </c>
      <c r="B44" s="7" t="s">
        <v>122</v>
      </c>
      <c r="C44" s="7" t="s">
        <v>118</v>
      </c>
      <c r="D44" s="6">
        <v>3</v>
      </c>
      <c r="E44" s="6">
        <v>1</v>
      </c>
      <c r="F44" s="6">
        <v>2</v>
      </c>
      <c r="G44" s="6">
        <v>3</v>
      </c>
      <c r="H44" s="6">
        <v>3</v>
      </c>
      <c r="I44" s="6">
        <v>4</v>
      </c>
      <c r="J44" s="6">
        <v>3</v>
      </c>
      <c r="K44" s="6">
        <v>3</v>
      </c>
      <c r="L44" s="6">
        <v>2</v>
      </c>
      <c r="M44" s="7" t="s">
        <v>162</v>
      </c>
      <c r="N44" s="6">
        <v>0</v>
      </c>
      <c r="O44" s="6">
        <v>0</v>
      </c>
      <c r="P44" s="6">
        <v>0</v>
      </c>
      <c r="Q44" s="6">
        <v>0</v>
      </c>
      <c r="R44" s="6">
        <v>0</v>
      </c>
      <c r="S44" s="6">
        <v>0</v>
      </c>
      <c r="T44" s="6">
        <v>4</v>
      </c>
      <c r="U44" s="12">
        <f t="shared" si="0"/>
        <v>0.5714285714285714</v>
      </c>
      <c r="V44" s="6">
        <v>3</v>
      </c>
      <c r="W44" s="6">
        <v>3</v>
      </c>
      <c r="X44" s="6">
        <v>5</v>
      </c>
      <c r="Y44" s="6">
        <v>3</v>
      </c>
      <c r="Z44" s="6">
        <v>2</v>
      </c>
      <c r="AA44" s="6">
        <v>2</v>
      </c>
      <c r="AB44" s="6">
        <v>2</v>
      </c>
      <c r="AC44" s="6">
        <v>3</v>
      </c>
      <c r="AD44" s="6">
        <v>3</v>
      </c>
      <c r="AE44" s="6">
        <v>4</v>
      </c>
    </row>
    <row r="45" spans="1:31">
      <c r="A45" s="6" t="s">
        <v>60</v>
      </c>
      <c r="B45" s="7" t="s">
        <v>123</v>
      </c>
      <c r="C45" s="7" t="s">
        <v>139</v>
      </c>
      <c r="D45" s="6">
        <v>3</v>
      </c>
      <c r="E45" s="6">
        <v>1</v>
      </c>
      <c r="F45" s="6">
        <v>2</v>
      </c>
      <c r="G45" s="6">
        <v>3</v>
      </c>
      <c r="H45" s="6">
        <v>2</v>
      </c>
      <c r="I45" s="6">
        <v>4</v>
      </c>
      <c r="J45" s="6">
        <v>2</v>
      </c>
      <c r="K45" s="6">
        <v>4</v>
      </c>
      <c r="L45" s="6">
        <v>2</v>
      </c>
      <c r="M45" s="7" t="s">
        <v>163</v>
      </c>
      <c r="N45" s="6">
        <v>0</v>
      </c>
      <c r="O45" s="6">
        <v>1</v>
      </c>
      <c r="P45" s="6">
        <v>1</v>
      </c>
      <c r="Q45" s="6">
        <v>0</v>
      </c>
      <c r="R45" s="6">
        <v>0</v>
      </c>
      <c r="S45" s="6">
        <v>1</v>
      </c>
      <c r="T45" s="6">
        <v>3</v>
      </c>
      <c r="U45" s="12">
        <f t="shared" si="0"/>
        <v>0.42857142857142855</v>
      </c>
      <c r="V45" s="6">
        <v>3</v>
      </c>
      <c r="W45" s="6">
        <v>3</v>
      </c>
      <c r="X45" s="6">
        <v>1</v>
      </c>
      <c r="Y45" s="6">
        <v>2</v>
      </c>
      <c r="Z45" s="6">
        <v>1</v>
      </c>
      <c r="AA45" s="6">
        <v>3</v>
      </c>
      <c r="AB45" s="6">
        <v>2</v>
      </c>
      <c r="AC45" s="6">
        <v>3</v>
      </c>
      <c r="AD45" s="6">
        <v>3</v>
      </c>
      <c r="AE45" s="6">
        <v>4</v>
      </c>
    </row>
    <row r="46" spans="1:31">
      <c r="A46" s="6" t="s">
        <v>61</v>
      </c>
      <c r="B46" s="7" t="s">
        <v>124</v>
      </c>
      <c r="C46" s="7" t="s">
        <v>106</v>
      </c>
      <c r="D46" s="6">
        <v>2</v>
      </c>
      <c r="E46" s="6">
        <v>1</v>
      </c>
      <c r="F46" s="6">
        <v>3</v>
      </c>
      <c r="G46" s="6">
        <v>3</v>
      </c>
      <c r="H46" s="6">
        <v>4</v>
      </c>
      <c r="I46" s="6">
        <v>5</v>
      </c>
      <c r="J46" s="6">
        <v>3</v>
      </c>
      <c r="K46" s="6">
        <v>1</v>
      </c>
      <c r="L46" s="6">
        <v>2</v>
      </c>
      <c r="M46" s="7" t="s">
        <v>164</v>
      </c>
      <c r="N46" s="6">
        <v>1</v>
      </c>
      <c r="O46" s="6">
        <v>0</v>
      </c>
      <c r="P46" s="6">
        <v>0</v>
      </c>
      <c r="Q46" s="6">
        <v>1</v>
      </c>
      <c r="R46" s="6">
        <v>0</v>
      </c>
      <c r="S46" s="6">
        <v>1</v>
      </c>
      <c r="T46" s="6">
        <v>2</v>
      </c>
      <c r="U46" s="12">
        <f t="shared" si="0"/>
        <v>0.2857142857142857</v>
      </c>
      <c r="V46" s="6">
        <v>1</v>
      </c>
      <c r="W46" s="6">
        <v>2</v>
      </c>
      <c r="X46" s="6">
        <v>4</v>
      </c>
      <c r="Y46" s="6">
        <v>2</v>
      </c>
      <c r="Z46" s="6">
        <v>1</v>
      </c>
      <c r="AA46" s="6">
        <v>3</v>
      </c>
      <c r="AB46" s="6">
        <v>4</v>
      </c>
      <c r="AC46" s="6">
        <v>2</v>
      </c>
      <c r="AD46" s="6">
        <v>1</v>
      </c>
      <c r="AE46" s="6">
        <v>4</v>
      </c>
    </row>
    <row r="47" spans="1:31">
      <c r="A47" s="6" t="s">
        <v>62</v>
      </c>
      <c r="B47" s="7" t="s">
        <v>125</v>
      </c>
      <c r="C47" s="7" t="s">
        <v>85</v>
      </c>
      <c r="D47" s="6">
        <v>3</v>
      </c>
      <c r="E47" s="6">
        <v>1</v>
      </c>
      <c r="F47" s="6">
        <v>2</v>
      </c>
      <c r="G47" s="6">
        <v>3</v>
      </c>
      <c r="H47" s="6">
        <v>3</v>
      </c>
      <c r="I47" s="6">
        <v>5</v>
      </c>
      <c r="J47" s="6">
        <v>3</v>
      </c>
      <c r="K47" s="6">
        <v>3</v>
      </c>
      <c r="L47" s="6">
        <v>2</v>
      </c>
      <c r="M47" s="7" t="s">
        <v>154</v>
      </c>
      <c r="N47" s="6">
        <v>0</v>
      </c>
      <c r="O47" s="6">
        <v>1</v>
      </c>
      <c r="P47" s="6">
        <v>1</v>
      </c>
      <c r="Q47" s="6">
        <v>1</v>
      </c>
      <c r="R47" s="6">
        <v>0</v>
      </c>
      <c r="S47" s="6">
        <v>0</v>
      </c>
      <c r="T47" s="6">
        <v>1</v>
      </c>
      <c r="U47" s="12">
        <f t="shared" si="0"/>
        <v>0.14285714285714285</v>
      </c>
      <c r="V47" s="6">
        <v>2</v>
      </c>
      <c r="W47" s="6">
        <v>1</v>
      </c>
      <c r="X47" s="6">
        <v>5</v>
      </c>
      <c r="Y47" s="6">
        <v>3</v>
      </c>
      <c r="Z47" s="6">
        <v>1</v>
      </c>
      <c r="AA47" s="6">
        <v>3</v>
      </c>
      <c r="AB47" s="6">
        <v>2</v>
      </c>
      <c r="AC47" s="6">
        <v>2</v>
      </c>
      <c r="AD47" s="6">
        <v>3</v>
      </c>
      <c r="AE47" s="6">
        <v>3</v>
      </c>
    </row>
    <row r="48" spans="1:31">
      <c r="A48" s="6" t="s">
        <v>63</v>
      </c>
      <c r="B48" s="7" t="s">
        <v>126</v>
      </c>
      <c r="C48" s="7" t="s">
        <v>77</v>
      </c>
      <c r="D48" s="6">
        <v>2</v>
      </c>
      <c r="E48" s="6">
        <v>1</v>
      </c>
      <c r="F48" s="6">
        <v>3</v>
      </c>
      <c r="G48" s="6">
        <v>3</v>
      </c>
      <c r="H48" s="6">
        <v>3</v>
      </c>
      <c r="I48" s="6">
        <v>5</v>
      </c>
      <c r="J48" s="6">
        <v>2</v>
      </c>
      <c r="K48" s="6">
        <v>4</v>
      </c>
      <c r="L48" s="6">
        <v>2</v>
      </c>
      <c r="M48" s="7" t="s">
        <v>168</v>
      </c>
      <c r="N48" s="6">
        <v>0</v>
      </c>
      <c r="O48" s="6">
        <v>0</v>
      </c>
      <c r="P48" s="6">
        <v>0</v>
      </c>
      <c r="Q48" s="6">
        <v>0</v>
      </c>
      <c r="R48" s="6">
        <v>0</v>
      </c>
      <c r="S48" s="6">
        <v>1</v>
      </c>
      <c r="T48" s="6">
        <v>1</v>
      </c>
      <c r="U48" s="12">
        <f t="shared" si="0"/>
        <v>0.14285714285714285</v>
      </c>
      <c r="V48" s="6">
        <v>1</v>
      </c>
      <c r="W48" s="6">
        <v>2</v>
      </c>
      <c r="X48" s="6">
        <v>1</v>
      </c>
      <c r="Y48" s="6">
        <v>3</v>
      </c>
      <c r="Z48" s="6">
        <v>1</v>
      </c>
      <c r="AA48" s="6">
        <v>3</v>
      </c>
      <c r="AB48" s="6">
        <v>2</v>
      </c>
      <c r="AC48" s="6">
        <v>2</v>
      </c>
      <c r="AD48" s="6">
        <v>3</v>
      </c>
      <c r="AE48" s="6">
        <v>4</v>
      </c>
    </row>
    <row r="49" spans="1:31">
      <c r="A49" s="6" t="s">
        <v>64</v>
      </c>
      <c r="B49" s="7" t="s">
        <v>127</v>
      </c>
      <c r="C49" s="7" t="s">
        <v>140</v>
      </c>
      <c r="D49" s="6">
        <v>2</v>
      </c>
      <c r="E49" s="6">
        <v>1</v>
      </c>
      <c r="F49" s="6">
        <v>2</v>
      </c>
      <c r="G49" s="6">
        <v>3</v>
      </c>
      <c r="H49" s="6">
        <v>4</v>
      </c>
      <c r="I49" s="6">
        <v>5</v>
      </c>
      <c r="J49" s="6">
        <v>3</v>
      </c>
      <c r="K49" s="6">
        <v>4</v>
      </c>
      <c r="L49" s="6">
        <v>3</v>
      </c>
      <c r="M49" s="7" t="s">
        <v>85</v>
      </c>
      <c r="N49" s="6">
        <v>0</v>
      </c>
      <c r="O49" s="6">
        <v>1</v>
      </c>
      <c r="P49" s="6">
        <v>1</v>
      </c>
      <c r="Q49" s="6">
        <v>0</v>
      </c>
      <c r="R49" s="6">
        <v>0</v>
      </c>
      <c r="S49" s="6">
        <v>0</v>
      </c>
      <c r="T49" s="6">
        <v>2</v>
      </c>
      <c r="U49" s="12">
        <f t="shared" si="0"/>
        <v>0.2857142857142857</v>
      </c>
      <c r="V49" s="6">
        <v>1</v>
      </c>
      <c r="W49" s="6">
        <v>2</v>
      </c>
      <c r="X49" s="6">
        <v>5</v>
      </c>
      <c r="Y49" s="6">
        <v>3</v>
      </c>
      <c r="Z49" s="6">
        <v>1</v>
      </c>
      <c r="AA49" s="6">
        <v>3</v>
      </c>
      <c r="AB49" s="6">
        <v>2</v>
      </c>
      <c r="AC49" s="6">
        <v>2</v>
      </c>
      <c r="AD49" s="6">
        <v>3</v>
      </c>
      <c r="AE49" s="6">
        <v>4</v>
      </c>
    </row>
    <row r="50" spans="1:31">
      <c r="A50" s="6" t="s">
        <v>65</v>
      </c>
      <c r="B50" s="7" t="s">
        <v>128</v>
      </c>
      <c r="C50" s="7" t="s">
        <v>77</v>
      </c>
      <c r="D50" s="6">
        <v>3</v>
      </c>
      <c r="E50" s="6">
        <v>1</v>
      </c>
      <c r="F50" s="6">
        <v>2</v>
      </c>
      <c r="G50" s="6">
        <v>3</v>
      </c>
      <c r="H50" s="6">
        <v>2</v>
      </c>
      <c r="I50" s="6">
        <v>5</v>
      </c>
      <c r="J50" s="6">
        <v>3</v>
      </c>
      <c r="K50" s="6">
        <v>4</v>
      </c>
      <c r="L50" s="6">
        <v>2</v>
      </c>
      <c r="M50" s="7" t="s">
        <v>163</v>
      </c>
      <c r="N50" s="6">
        <v>0</v>
      </c>
      <c r="O50" s="6">
        <v>1</v>
      </c>
      <c r="P50" s="6">
        <v>0</v>
      </c>
      <c r="Q50" s="6">
        <v>0</v>
      </c>
      <c r="R50" s="6">
        <v>1</v>
      </c>
      <c r="S50" s="6">
        <v>0</v>
      </c>
      <c r="T50" s="6">
        <v>2</v>
      </c>
      <c r="U50" s="12">
        <f t="shared" si="0"/>
        <v>0.2857142857142857</v>
      </c>
      <c r="V50" s="6">
        <v>2</v>
      </c>
      <c r="W50" s="6">
        <v>1</v>
      </c>
      <c r="X50" s="6">
        <v>1</v>
      </c>
      <c r="Y50" s="6">
        <v>2</v>
      </c>
      <c r="Z50" s="6">
        <v>1</v>
      </c>
      <c r="AA50" s="6">
        <v>3</v>
      </c>
      <c r="AB50" s="6">
        <v>1</v>
      </c>
      <c r="AC50" s="6">
        <v>1</v>
      </c>
      <c r="AD50" s="6">
        <v>3</v>
      </c>
      <c r="AE50" s="6">
        <v>4</v>
      </c>
    </row>
    <row r="51" spans="1:31">
      <c r="A51" s="6" t="s">
        <v>66</v>
      </c>
      <c r="B51" s="7" t="s">
        <v>129</v>
      </c>
      <c r="C51" s="7" t="s">
        <v>130</v>
      </c>
      <c r="D51" s="6">
        <v>3</v>
      </c>
      <c r="E51" s="6">
        <v>1</v>
      </c>
      <c r="F51" s="6">
        <v>3</v>
      </c>
      <c r="G51" s="6">
        <v>3</v>
      </c>
      <c r="H51" s="6">
        <v>3</v>
      </c>
      <c r="I51" s="6">
        <v>5</v>
      </c>
      <c r="J51" s="6">
        <v>2</v>
      </c>
      <c r="K51" s="6">
        <v>3</v>
      </c>
      <c r="L51" s="6">
        <v>3</v>
      </c>
      <c r="M51" s="7" t="s">
        <v>164</v>
      </c>
      <c r="N51" s="6">
        <v>0</v>
      </c>
      <c r="O51" s="6">
        <v>1</v>
      </c>
      <c r="P51" s="6">
        <v>1</v>
      </c>
      <c r="Q51" s="6">
        <v>0</v>
      </c>
      <c r="R51" s="6">
        <v>0</v>
      </c>
      <c r="S51" s="6">
        <v>1</v>
      </c>
      <c r="T51" s="6">
        <v>3</v>
      </c>
      <c r="U51" s="12">
        <f t="shared" si="0"/>
        <v>0.42857142857142855</v>
      </c>
      <c r="V51" s="6">
        <v>1</v>
      </c>
      <c r="W51" s="6">
        <v>2</v>
      </c>
      <c r="X51" s="6">
        <v>2</v>
      </c>
      <c r="Y51" s="6">
        <v>2</v>
      </c>
      <c r="Z51" s="6">
        <v>1</v>
      </c>
      <c r="AA51" s="6">
        <v>2</v>
      </c>
      <c r="AB51" s="6">
        <v>3</v>
      </c>
      <c r="AC51" s="6">
        <v>1</v>
      </c>
      <c r="AD51" s="6">
        <v>3</v>
      </c>
      <c r="AE51" s="6">
        <v>4</v>
      </c>
    </row>
    <row r="52" spans="1:31">
      <c r="A52" s="6" t="s">
        <v>67</v>
      </c>
      <c r="B52" s="7" t="s">
        <v>131</v>
      </c>
      <c r="C52" s="7" t="s">
        <v>112</v>
      </c>
      <c r="D52" s="6">
        <v>2</v>
      </c>
      <c r="E52" s="6">
        <v>1</v>
      </c>
      <c r="F52" s="6">
        <v>2</v>
      </c>
      <c r="G52" s="6">
        <v>3</v>
      </c>
      <c r="H52" s="6">
        <v>3</v>
      </c>
      <c r="I52" s="6">
        <v>5</v>
      </c>
      <c r="J52" s="6">
        <v>3</v>
      </c>
      <c r="K52" s="6">
        <v>1</v>
      </c>
      <c r="L52" s="6">
        <v>2</v>
      </c>
      <c r="M52" s="7" t="s">
        <v>164</v>
      </c>
      <c r="N52" s="6">
        <v>1</v>
      </c>
      <c r="O52" s="6">
        <v>0</v>
      </c>
      <c r="P52" s="6">
        <v>0</v>
      </c>
      <c r="Q52" s="6">
        <v>1</v>
      </c>
      <c r="R52" s="6">
        <v>0</v>
      </c>
      <c r="S52" s="6">
        <v>1</v>
      </c>
      <c r="T52" s="6">
        <v>1</v>
      </c>
      <c r="U52" s="12">
        <f t="shared" si="0"/>
        <v>0.14285714285714285</v>
      </c>
      <c r="V52" s="6">
        <v>3</v>
      </c>
      <c r="W52" s="6">
        <v>2</v>
      </c>
      <c r="X52" s="6">
        <v>5</v>
      </c>
      <c r="Y52" s="6">
        <v>3</v>
      </c>
      <c r="Z52" s="6">
        <v>1</v>
      </c>
      <c r="AA52" s="6">
        <v>3</v>
      </c>
      <c r="AB52" s="6">
        <v>5</v>
      </c>
      <c r="AC52" s="6">
        <v>3</v>
      </c>
      <c r="AD52" s="6">
        <v>2</v>
      </c>
      <c r="AE52" s="6">
        <v>3</v>
      </c>
    </row>
    <row r="53" spans="1:31">
      <c r="A53" s="6" t="s">
        <v>68</v>
      </c>
      <c r="B53" s="7" t="s">
        <v>132</v>
      </c>
      <c r="C53" s="7" t="s">
        <v>121</v>
      </c>
      <c r="D53" s="6">
        <v>2</v>
      </c>
      <c r="E53" s="6">
        <v>1</v>
      </c>
      <c r="F53" s="6">
        <v>3</v>
      </c>
      <c r="G53" s="6">
        <v>3</v>
      </c>
      <c r="H53" s="6">
        <v>3</v>
      </c>
      <c r="I53" s="6">
        <v>5</v>
      </c>
      <c r="J53" s="6">
        <v>3</v>
      </c>
      <c r="K53" s="6">
        <v>4</v>
      </c>
      <c r="L53" s="6">
        <v>3</v>
      </c>
      <c r="M53" s="7" t="s">
        <v>85</v>
      </c>
      <c r="N53" s="6">
        <v>0</v>
      </c>
      <c r="O53" s="6">
        <v>1</v>
      </c>
      <c r="P53" s="6">
        <v>1</v>
      </c>
      <c r="Q53" s="6">
        <v>0</v>
      </c>
      <c r="R53" s="6">
        <v>0</v>
      </c>
      <c r="S53" s="6">
        <v>1</v>
      </c>
      <c r="T53" s="6">
        <v>3</v>
      </c>
      <c r="U53" s="12">
        <f t="shared" si="0"/>
        <v>0.42857142857142855</v>
      </c>
      <c r="V53" s="6">
        <v>2</v>
      </c>
      <c r="W53" s="6">
        <v>1</v>
      </c>
      <c r="X53" s="6">
        <v>6</v>
      </c>
      <c r="Y53" s="6">
        <v>2</v>
      </c>
      <c r="Z53" s="6">
        <v>1</v>
      </c>
      <c r="AA53" s="6">
        <v>3</v>
      </c>
      <c r="AB53" s="6">
        <v>2</v>
      </c>
      <c r="AC53" s="6">
        <v>2</v>
      </c>
      <c r="AD53" s="6">
        <v>3</v>
      </c>
      <c r="AE53" s="6">
        <v>3</v>
      </c>
    </row>
    <row r="54" spans="1:31">
      <c r="A54" s="6" t="s">
        <v>69</v>
      </c>
      <c r="B54" s="7" t="s">
        <v>133</v>
      </c>
      <c r="C54" s="7" t="s">
        <v>85</v>
      </c>
      <c r="D54" s="6">
        <v>3</v>
      </c>
      <c r="E54" s="6">
        <v>1</v>
      </c>
      <c r="F54" s="6">
        <v>2</v>
      </c>
      <c r="G54" s="6">
        <v>3</v>
      </c>
      <c r="H54" s="6">
        <v>2</v>
      </c>
      <c r="I54" s="6">
        <v>5</v>
      </c>
      <c r="J54" s="6">
        <v>2</v>
      </c>
      <c r="K54" s="6">
        <v>3</v>
      </c>
      <c r="L54" s="6">
        <v>2</v>
      </c>
      <c r="M54" s="7" t="s">
        <v>169</v>
      </c>
      <c r="N54" s="6">
        <v>1</v>
      </c>
      <c r="O54" s="6">
        <v>0</v>
      </c>
      <c r="P54" s="6">
        <v>0</v>
      </c>
      <c r="Q54" s="6">
        <v>0</v>
      </c>
      <c r="R54" s="6">
        <v>0</v>
      </c>
      <c r="S54" s="6">
        <v>0</v>
      </c>
      <c r="T54" s="6">
        <v>2</v>
      </c>
      <c r="U54" s="12">
        <f t="shared" si="0"/>
        <v>0.2857142857142857</v>
      </c>
      <c r="V54" s="6">
        <v>3</v>
      </c>
      <c r="W54" s="6">
        <v>2</v>
      </c>
      <c r="X54" s="6">
        <v>4</v>
      </c>
      <c r="Y54" s="6">
        <v>1</v>
      </c>
      <c r="Z54" s="6">
        <v>1</v>
      </c>
      <c r="AA54" s="6">
        <v>2</v>
      </c>
      <c r="AB54" s="6">
        <v>4</v>
      </c>
      <c r="AC54" s="6">
        <v>1</v>
      </c>
      <c r="AD54" s="6">
        <v>3</v>
      </c>
      <c r="AE54" s="6">
        <v>4</v>
      </c>
    </row>
    <row r="55" spans="1:31">
      <c r="A55" s="6" t="s">
        <v>70</v>
      </c>
      <c r="B55" s="7" t="s">
        <v>134</v>
      </c>
      <c r="C55" s="7" t="s">
        <v>85</v>
      </c>
      <c r="D55" s="6">
        <v>4</v>
      </c>
      <c r="E55" s="6">
        <v>1</v>
      </c>
      <c r="F55" s="6">
        <v>2</v>
      </c>
      <c r="G55" s="6">
        <v>3</v>
      </c>
      <c r="H55" s="6">
        <v>4</v>
      </c>
      <c r="I55" s="6">
        <v>5</v>
      </c>
      <c r="J55" s="6">
        <v>3</v>
      </c>
      <c r="K55" s="6">
        <v>2</v>
      </c>
      <c r="L55" s="6">
        <v>2</v>
      </c>
      <c r="M55" s="7" t="s">
        <v>162</v>
      </c>
      <c r="N55" s="6">
        <v>0</v>
      </c>
      <c r="O55" s="6">
        <v>1</v>
      </c>
      <c r="P55" s="6">
        <v>1</v>
      </c>
      <c r="Q55" s="6">
        <v>1</v>
      </c>
      <c r="R55" s="6">
        <v>0</v>
      </c>
      <c r="S55" s="6">
        <v>0</v>
      </c>
      <c r="T55" s="6">
        <v>2</v>
      </c>
      <c r="U55" s="12">
        <f t="shared" si="0"/>
        <v>0.2857142857142857</v>
      </c>
      <c r="V55" s="6">
        <v>3</v>
      </c>
      <c r="W55" s="6">
        <v>2</v>
      </c>
      <c r="X55" s="6">
        <v>1</v>
      </c>
      <c r="Y55" s="6">
        <v>2</v>
      </c>
      <c r="Z55" s="6">
        <v>1</v>
      </c>
      <c r="AA55" s="6">
        <v>2</v>
      </c>
      <c r="AB55" s="6">
        <v>2</v>
      </c>
      <c r="AC55" s="6">
        <v>2</v>
      </c>
      <c r="AD55" s="6">
        <v>3</v>
      </c>
      <c r="AE55" s="6">
        <v>4</v>
      </c>
    </row>
    <row r="56" spans="1:31">
      <c r="A56" s="8"/>
      <c r="B56" s="9" t="s">
        <v>141</v>
      </c>
      <c r="C56" s="9"/>
      <c r="D56" s="9"/>
      <c r="E56" s="9"/>
      <c r="F56" s="9"/>
      <c r="G56" s="9"/>
      <c r="H56" s="9"/>
      <c r="I56" s="9"/>
      <c r="J56" s="9"/>
      <c r="K56" s="9"/>
      <c r="L56" s="9"/>
      <c r="M56" s="9"/>
      <c r="N56" s="9"/>
      <c r="O56" s="9"/>
      <c r="P56" s="9"/>
      <c r="Q56" s="9"/>
      <c r="R56" s="9"/>
      <c r="S56" s="9"/>
      <c r="T56" s="24"/>
      <c r="U56" s="14">
        <f>AVERAGE(U6:U55)</f>
        <v>0.55999999999999961</v>
      </c>
      <c r="V56" s="9"/>
      <c r="W56" s="9"/>
      <c r="X56" s="13"/>
      <c r="Y56" s="9"/>
      <c r="Z56" s="9"/>
      <c r="AA56" s="9"/>
      <c r="AB56" s="9"/>
      <c r="AC56" s="9"/>
      <c r="AD56" s="9"/>
      <c r="AE56" s="9"/>
    </row>
    <row r="57" spans="1:31">
      <c r="A57" s="8"/>
      <c r="B57" s="9" t="s">
        <v>142</v>
      </c>
      <c r="C57" s="9"/>
      <c r="D57" s="13">
        <f>_xlfn.MODE.SNGL(D6:D55)</f>
        <v>3</v>
      </c>
      <c r="E57" s="13">
        <f t="shared" ref="E57:L57" si="1">_xlfn.MODE.SNGL(E6:E55)</f>
        <v>1</v>
      </c>
      <c r="F57" s="13">
        <f t="shared" si="1"/>
        <v>2</v>
      </c>
      <c r="G57" s="13">
        <f t="shared" si="1"/>
        <v>3</v>
      </c>
      <c r="H57" s="13">
        <f t="shared" si="1"/>
        <v>3</v>
      </c>
      <c r="I57" s="13">
        <f t="shared" si="1"/>
        <v>1</v>
      </c>
      <c r="J57" s="13">
        <f t="shared" si="1"/>
        <v>2</v>
      </c>
      <c r="K57" s="13">
        <f t="shared" si="1"/>
        <v>4</v>
      </c>
      <c r="L57" s="13">
        <f t="shared" si="1"/>
        <v>2</v>
      </c>
      <c r="M57" s="9">
        <f>SUM(N57:S57)</f>
        <v>124</v>
      </c>
      <c r="N57" s="13">
        <f t="shared" ref="N57:S57" si="2">SUM(N6:N55)</f>
        <v>19</v>
      </c>
      <c r="O57" s="13">
        <f t="shared" si="2"/>
        <v>29</v>
      </c>
      <c r="P57" s="13">
        <f t="shared" si="2"/>
        <v>21</v>
      </c>
      <c r="Q57" s="13">
        <f t="shared" si="2"/>
        <v>14</v>
      </c>
      <c r="R57" s="13">
        <f t="shared" si="2"/>
        <v>8</v>
      </c>
      <c r="S57" s="13">
        <f t="shared" si="2"/>
        <v>33</v>
      </c>
      <c r="T57" s="13">
        <f>_xlfn.MODE.SNGL(T6:T55)</f>
        <v>3</v>
      </c>
      <c r="U57" s="14">
        <f t="shared" ref="U57:AE57" si="3">_xlfn.MODE.SNGL(U6:U55)</f>
        <v>0.42857142857142855</v>
      </c>
      <c r="V57" s="13">
        <f t="shared" si="3"/>
        <v>1</v>
      </c>
      <c r="W57" s="13">
        <f t="shared" si="3"/>
        <v>2</v>
      </c>
      <c r="X57" s="13">
        <f t="shared" si="3"/>
        <v>1</v>
      </c>
      <c r="Y57" s="13">
        <f t="shared" si="3"/>
        <v>2</v>
      </c>
      <c r="Z57" s="13">
        <f t="shared" si="3"/>
        <v>1</v>
      </c>
      <c r="AA57" s="13">
        <f t="shared" si="3"/>
        <v>3</v>
      </c>
      <c r="AB57" s="13">
        <f t="shared" si="3"/>
        <v>2</v>
      </c>
      <c r="AC57" s="13">
        <f t="shared" si="3"/>
        <v>2</v>
      </c>
      <c r="AD57" s="13">
        <f t="shared" si="3"/>
        <v>3</v>
      </c>
      <c r="AE57" s="13">
        <f t="shared" si="3"/>
        <v>4</v>
      </c>
    </row>
    <row r="58" spans="1:31">
      <c r="A58" s="15"/>
      <c r="B58" s="16" t="s">
        <v>144</v>
      </c>
      <c r="C58" s="16"/>
      <c r="D58" s="18">
        <f>COUNTIF(D6:D55,"1")/50*100</f>
        <v>0</v>
      </c>
      <c r="E58" s="17">
        <f>COUNTIF(E6:E55,"1")/50*100</f>
        <v>100</v>
      </c>
      <c r="F58" s="17">
        <f t="shared" ref="F58:K58" si="4">COUNTIF(F6:F55,"1")/50*100</f>
        <v>0</v>
      </c>
      <c r="G58" s="17">
        <f t="shared" si="4"/>
        <v>2</v>
      </c>
      <c r="H58" s="17">
        <f t="shared" si="4"/>
        <v>6</v>
      </c>
      <c r="I58" s="17">
        <f t="shared" si="4"/>
        <v>20</v>
      </c>
      <c r="J58" s="17">
        <f t="shared" si="4"/>
        <v>32</v>
      </c>
      <c r="K58" s="20">
        <f t="shared" si="4"/>
        <v>6</v>
      </c>
      <c r="L58" s="17">
        <f>COUNTIF(L6:L55,"0")/50*100</f>
        <v>0</v>
      </c>
      <c r="M58" s="23"/>
      <c r="N58" s="22">
        <f>N57/M57*100</f>
        <v>15.32258064516129</v>
      </c>
      <c r="O58" s="22">
        <f>O57/M57*100</f>
        <v>23.387096774193548</v>
      </c>
      <c r="P58" s="22">
        <f>P57/M57*100</f>
        <v>16.93548387096774</v>
      </c>
      <c r="Q58" s="22">
        <f>Q57/M57*100</f>
        <v>11.29032258064516</v>
      </c>
      <c r="R58" s="22">
        <f>R57/M57*100</f>
        <v>6.4516129032258061</v>
      </c>
      <c r="S58" s="75">
        <f>S57/M57*100</f>
        <v>26.612903225806448</v>
      </c>
      <c r="T58" s="17">
        <f>COUNTIF(T6:T55,"0")/50*50</f>
        <v>0</v>
      </c>
      <c r="U58" s="76"/>
      <c r="V58" s="17">
        <f t="shared" ref="V58:AE58" si="5">COUNTIF(V6:V55,"1")/50*100</f>
        <v>56.000000000000007</v>
      </c>
      <c r="W58" s="20">
        <f t="shared" si="5"/>
        <v>6</v>
      </c>
      <c r="X58" s="17">
        <f t="shared" si="5"/>
        <v>28.000000000000004</v>
      </c>
      <c r="Y58" s="17">
        <f t="shared" si="5"/>
        <v>2</v>
      </c>
      <c r="Z58" s="17">
        <f t="shared" si="5"/>
        <v>62</v>
      </c>
      <c r="AA58" s="17">
        <f t="shared" si="5"/>
        <v>0</v>
      </c>
      <c r="AB58" s="17">
        <f t="shared" si="5"/>
        <v>6</v>
      </c>
      <c r="AC58" s="17">
        <f t="shared" si="5"/>
        <v>28.000000000000004</v>
      </c>
      <c r="AD58" s="17">
        <f t="shared" si="5"/>
        <v>8</v>
      </c>
      <c r="AE58" s="17">
        <f t="shared" si="5"/>
        <v>0</v>
      </c>
    </row>
    <row r="59" spans="1:31">
      <c r="D59" s="18">
        <f>COUNTIF(D6:D55,"2")/50*100</f>
        <v>24</v>
      </c>
      <c r="E59" s="17">
        <f>COUNTIF(E6:E55,"2")/50*100</f>
        <v>0</v>
      </c>
      <c r="F59" s="17">
        <f t="shared" ref="F59:K59" si="6">COUNTIF(F6:F55,"2")/50*100</f>
        <v>74</v>
      </c>
      <c r="G59" s="17">
        <f t="shared" si="6"/>
        <v>2</v>
      </c>
      <c r="H59" s="17">
        <f t="shared" si="6"/>
        <v>28.000000000000004</v>
      </c>
      <c r="I59" s="17">
        <f t="shared" si="6"/>
        <v>20</v>
      </c>
      <c r="J59" s="17">
        <f t="shared" si="6"/>
        <v>42</v>
      </c>
      <c r="K59" s="20">
        <f t="shared" si="6"/>
        <v>14.000000000000002</v>
      </c>
      <c r="L59" s="17">
        <f>COUNTIF(L6:L55,"1")/50*100</f>
        <v>34</v>
      </c>
      <c r="T59" s="19">
        <f>COUNTIF(T6:T55,"1")/50*100</f>
        <v>6</v>
      </c>
      <c r="V59" s="17">
        <f t="shared" ref="V59:AE59" si="7">COUNTIF(V6:V55,"2")/50*100</f>
        <v>6</v>
      </c>
      <c r="W59" s="20">
        <f t="shared" si="7"/>
        <v>68</v>
      </c>
      <c r="X59" s="17">
        <f t="shared" si="7"/>
        <v>18</v>
      </c>
      <c r="Y59" s="17">
        <f t="shared" si="7"/>
        <v>44</v>
      </c>
      <c r="Z59" s="17">
        <f t="shared" si="7"/>
        <v>38</v>
      </c>
      <c r="AA59" s="17">
        <f t="shared" si="7"/>
        <v>26</v>
      </c>
      <c r="AB59" s="17">
        <f t="shared" si="7"/>
        <v>50</v>
      </c>
      <c r="AC59" s="17">
        <f t="shared" si="7"/>
        <v>48</v>
      </c>
      <c r="AD59" s="17">
        <f t="shared" si="7"/>
        <v>12</v>
      </c>
      <c r="AE59" s="17">
        <f t="shared" si="7"/>
        <v>0</v>
      </c>
    </row>
    <row r="60" spans="1:31">
      <c r="D60" s="18">
        <f>COUNTIF(D6:D55,"3")/50*100</f>
        <v>60</v>
      </c>
      <c r="F60" s="17">
        <f t="shared" ref="F60:K60" si="8">COUNTIF(F6:F55,"3")/50*100</f>
        <v>22</v>
      </c>
      <c r="G60" s="17">
        <f t="shared" si="8"/>
        <v>96</v>
      </c>
      <c r="H60" s="17">
        <f t="shared" si="8"/>
        <v>46</v>
      </c>
      <c r="I60" s="17">
        <f t="shared" si="8"/>
        <v>20</v>
      </c>
      <c r="J60" s="17">
        <f t="shared" si="8"/>
        <v>26</v>
      </c>
      <c r="K60" s="20">
        <f t="shared" si="8"/>
        <v>16</v>
      </c>
      <c r="L60" s="17">
        <f>COUNTIF(L6:L55,"2")/50*100</f>
        <v>52</v>
      </c>
      <c r="T60" s="19">
        <f>COUNTIF(T6:T55,"2")/50*100</f>
        <v>18</v>
      </c>
      <c r="V60" s="19">
        <f>COUNTIF(V6:V55,"3")/50*100</f>
        <v>38</v>
      </c>
      <c r="W60" s="21">
        <f>COUNTIF(W6:W55,"3")/50*100</f>
        <v>26</v>
      </c>
      <c r="X60" s="19">
        <f>COUNTIF(X6:X55,"3")/50*100</f>
        <v>10</v>
      </c>
      <c r="Y60" s="19">
        <f>COUNTIF(Y6:Y55,"3")/50*100</f>
        <v>38</v>
      </c>
      <c r="AA60" s="25">
        <f>COUNTIF(AA6:AA55,"3")/50*100</f>
        <v>74</v>
      </c>
      <c r="AB60" s="25">
        <f>COUNTIF(AB6:AB55,"3")/50*100</f>
        <v>28.000000000000004</v>
      </c>
      <c r="AC60" s="25">
        <f>COUNTIF(AC6:AC55,"3")/50*100</f>
        <v>24</v>
      </c>
      <c r="AD60" s="25">
        <f>COUNTIF(AD6:AD55,"3")/50*100</f>
        <v>80</v>
      </c>
      <c r="AE60" s="25">
        <f>COUNTIF(AE6:AE55,"3")/50*100</f>
        <v>28.000000000000004</v>
      </c>
    </row>
    <row r="61" spans="1:31">
      <c r="D61" s="19">
        <f>COUNTIF(D6:D55,"4")/50*100</f>
        <v>16</v>
      </c>
      <c r="F61" s="19">
        <f>COUNTIF(F6:F55,"4")/50*100</f>
        <v>4</v>
      </c>
      <c r="H61" s="19">
        <f>COUNTIF(H6:H55,"4")/50*100</f>
        <v>20</v>
      </c>
      <c r="I61" s="19">
        <f>COUNTIF(I6:I55,"4")/50*100</f>
        <v>20</v>
      </c>
      <c r="K61" s="21">
        <f>COUNTIF(K6:K55,"4")/50*100</f>
        <v>64</v>
      </c>
      <c r="L61" s="19">
        <f>COUNTIF(L6:L55,"3")/50*100</f>
        <v>6</v>
      </c>
      <c r="T61" s="19">
        <f>COUNTIF(T6:T55,"3")/50*100</f>
        <v>24</v>
      </c>
      <c r="X61" s="19">
        <f>COUNTIF(X6:X55,"4")/50*100</f>
        <v>14.000000000000002</v>
      </c>
      <c r="Y61" s="19">
        <f>COUNTIF(Y6:Y55,"4")/50*100</f>
        <v>2</v>
      </c>
      <c r="AB61" s="19">
        <f>COUNTIF(AB6:AB55,"4")/50*100</f>
        <v>14.000000000000002</v>
      </c>
      <c r="AE61" s="19">
        <f>COUNTIF(AE6:AE55,"4")/50*100</f>
        <v>72</v>
      </c>
    </row>
    <row r="62" spans="1:31">
      <c r="F62" s="19">
        <f>COUNTIF(F6:F55,"5")/50*100</f>
        <v>0</v>
      </c>
      <c r="I62" s="19">
        <f>COUNTIF(I6:I55,"5")/50*100</f>
        <v>20</v>
      </c>
      <c r="L62" s="19">
        <f>COUNTIF(L6:L55,"4")/50*100</f>
        <v>0</v>
      </c>
      <c r="T62" s="19">
        <f>COUNTIF(T6:T55,"4")/50*100</f>
        <v>16</v>
      </c>
      <c r="X62" s="19">
        <f>COUNTIF(X6:X55,"5")/50*100</f>
        <v>26</v>
      </c>
      <c r="Y62" s="19">
        <f>COUNTIF(Y6:Y55,"5")/50*100</f>
        <v>10</v>
      </c>
      <c r="AB62" s="19">
        <f>COUNTIF(AB6:AB55,"5")/50*100</f>
        <v>2</v>
      </c>
    </row>
    <row r="63" spans="1:31">
      <c r="L63" s="19">
        <f>COUNTIF(L6:L55,"5")/50*100</f>
        <v>0</v>
      </c>
      <c r="T63" s="19">
        <f>COUNTIF(T6:T55,"5")/50*100</f>
        <v>14.000000000000002</v>
      </c>
      <c r="X63" s="19">
        <f>COUNTIF(X6:X55,"6")/50*100</f>
        <v>4</v>
      </c>
      <c r="Y63" s="19">
        <f>COUNTIF(Y6:Y55,"6")/50*100</f>
        <v>4</v>
      </c>
    </row>
    <row r="64" spans="1:31">
      <c r="L64" s="19">
        <f>COUNTIF(L6:L55,"6")/50*100</f>
        <v>2</v>
      </c>
      <c r="T64" s="19">
        <f>COUNTIF(T6:T55,"6")/50*100</f>
        <v>10</v>
      </c>
    </row>
    <row r="65" spans="12:24">
      <c r="L65" s="19">
        <f>COUNTIF(L6:L55,"7")/50*100</f>
        <v>6</v>
      </c>
      <c r="T65" s="19">
        <f>COUNTIF(T6:T55,"7")/50*100</f>
        <v>12</v>
      </c>
    </row>
    <row r="66" spans="12:24">
      <c r="L66" s="19">
        <f>COUNTIF(L6:L55,"8")/50*100</f>
        <v>0</v>
      </c>
    </row>
    <row r="67" spans="12:24">
      <c r="L67" s="19">
        <f>COUNTIF(L6:L55,"9")/50*100</f>
        <v>0</v>
      </c>
    </row>
    <row r="68" spans="12:24">
      <c r="W68" s="4"/>
      <c r="X68"/>
    </row>
    <row r="69" spans="12:24">
      <c r="W69" s="4"/>
      <c r="X69"/>
    </row>
  </sheetData>
  <mergeCells count="1">
    <mergeCell ref="N4:S4"/>
  </mergeCells>
  <pageMargins left="0.7" right="0.7" top="0.75" bottom="0.75" header="0.3" footer="0.3"/>
  <pageSetup orientation="portrait" horizontalDpi="360" verticalDpi="36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zoomScale="40" zoomScaleNormal="40" workbookViewId="0">
      <pane xSplit="2" ySplit="3" topLeftCell="F4" activePane="bottomRight" state="frozen"/>
      <selection pane="topRight" activeCell="C1" sqref="C1"/>
      <selection pane="bottomLeft" activeCell="A4" sqref="A4"/>
      <selection pane="bottomRight" activeCell="S52" sqref="S52"/>
    </sheetView>
  </sheetViews>
  <sheetFormatPr defaultRowHeight="14.5"/>
  <cols>
    <col min="1" max="1" width="5.90625" customWidth="1"/>
    <col min="2" max="2" width="19.36328125" customWidth="1"/>
    <col min="3" max="3" width="12.453125" customWidth="1"/>
    <col min="4" max="4" width="20.81640625" customWidth="1"/>
    <col min="5" max="5" width="14.7265625" customWidth="1"/>
  </cols>
  <sheetData>
    <row r="1" spans="1:6">
      <c r="A1" s="1" t="s">
        <v>214</v>
      </c>
    </row>
    <row r="3" spans="1:6" ht="28">
      <c r="A3" s="70" t="s">
        <v>215</v>
      </c>
      <c r="B3" s="70" t="s">
        <v>216</v>
      </c>
      <c r="C3" s="70" t="s">
        <v>217</v>
      </c>
      <c r="D3" s="70" t="s">
        <v>218</v>
      </c>
      <c r="E3" s="71" t="s">
        <v>197</v>
      </c>
    </row>
    <row r="4" spans="1:6">
      <c r="A4" s="185" t="s">
        <v>21</v>
      </c>
      <c r="B4" s="186" t="s">
        <v>219</v>
      </c>
      <c r="C4" s="185" t="s">
        <v>249</v>
      </c>
      <c r="D4" s="53" t="s">
        <v>303</v>
      </c>
      <c r="E4" s="27">
        <f>'Tabulasi Data Responden'!D58</f>
        <v>0</v>
      </c>
    </row>
    <row r="5" spans="1:6">
      <c r="A5" s="185"/>
      <c r="B5" s="186"/>
      <c r="C5" s="185"/>
      <c r="D5" s="53" t="s">
        <v>304</v>
      </c>
      <c r="E5" s="27">
        <f>'Tabulasi Data Responden'!D59</f>
        <v>24</v>
      </c>
    </row>
    <row r="6" spans="1:6">
      <c r="A6" s="185"/>
      <c r="B6" s="186"/>
      <c r="C6" s="185"/>
      <c r="D6" s="53" t="s">
        <v>305</v>
      </c>
      <c r="E6" s="27">
        <f>'Tabulasi Data Responden'!D60</f>
        <v>60</v>
      </c>
    </row>
    <row r="7" spans="1:6">
      <c r="A7" s="185"/>
      <c r="B7" s="186"/>
      <c r="C7" s="185"/>
      <c r="D7" s="53" t="s">
        <v>220</v>
      </c>
      <c r="E7" s="27">
        <f>'Tabulasi Data Responden'!D61</f>
        <v>16</v>
      </c>
    </row>
    <row r="8" spans="1:6">
      <c r="A8" s="185" t="s">
        <v>22</v>
      </c>
      <c r="B8" s="186" t="s">
        <v>3</v>
      </c>
      <c r="C8" s="187"/>
      <c r="D8" s="60" t="s">
        <v>221</v>
      </c>
      <c r="E8" s="27">
        <f>'Tabulasi Data Responden'!E58</f>
        <v>100</v>
      </c>
    </row>
    <row r="9" spans="1:6">
      <c r="A9" s="185"/>
      <c r="B9" s="186"/>
      <c r="C9" s="187"/>
      <c r="D9" s="60" t="s">
        <v>222</v>
      </c>
      <c r="E9" s="27">
        <f>'Tabulasi Data Responden'!E59</f>
        <v>0</v>
      </c>
    </row>
    <row r="10" spans="1:6">
      <c r="A10" s="192" t="s">
        <v>23</v>
      </c>
      <c r="B10" s="186" t="s">
        <v>223</v>
      </c>
      <c r="C10" s="188"/>
      <c r="D10" s="54" t="s">
        <v>224</v>
      </c>
      <c r="E10" s="27">
        <f>'Tabulasi Data Responden'!F58</f>
        <v>0</v>
      </c>
    </row>
    <row r="11" spans="1:6">
      <c r="A11" s="192"/>
      <c r="B11" s="186"/>
      <c r="C11" s="189"/>
      <c r="D11" s="54" t="s">
        <v>225</v>
      </c>
      <c r="E11" s="27">
        <f>'Tabulasi Data Responden'!F59</f>
        <v>74</v>
      </c>
    </row>
    <row r="12" spans="1:6">
      <c r="A12" s="192"/>
      <c r="B12" s="186"/>
      <c r="C12" s="189"/>
      <c r="D12" s="54" t="s">
        <v>226</v>
      </c>
      <c r="E12" s="27">
        <f>'Tabulasi Data Responden'!F60</f>
        <v>22</v>
      </c>
    </row>
    <row r="13" spans="1:6">
      <c r="A13" s="192"/>
      <c r="B13" s="186"/>
      <c r="C13" s="189"/>
      <c r="D13" s="54" t="s">
        <v>227</v>
      </c>
      <c r="E13" s="27">
        <f>'Tabulasi Data Responden'!F61</f>
        <v>4</v>
      </c>
    </row>
    <row r="14" spans="1:6">
      <c r="A14" s="192"/>
      <c r="B14" s="191"/>
      <c r="C14" s="190"/>
      <c r="D14" s="56" t="s">
        <v>228</v>
      </c>
      <c r="E14" s="74">
        <f>'Tabulasi Data Responden'!F62</f>
        <v>0</v>
      </c>
    </row>
    <row r="15" spans="1:6" ht="13.5" customHeight="1">
      <c r="A15" s="196" t="s">
        <v>24</v>
      </c>
      <c r="B15" s="193" t="s">
        <v>229</v>
      </c>
      <c r="C15" s="185" t="s">
        <v>249</v>
      </c>
      <c r="D15" s="57" t="s">
        <v>246</v>
      </c>
      <c r="E15" s="27">
        <f>'Tabulasi Data Responden'!G58</f>
        <v>2</v>
      </c>
      <c r="F15" s="55"/>
    </row>
    <row r="16" spans="1:6">
      <c r="A16" s="197"/>
      <c r="B16" s="194"/>
      <c r="C16" s="185"/>
      <c r="D16" s="57" t="s">
        <v>247</v>
      </c>
      <c r="E16" s="27">
        <f>'Tabulasi Data Responden'!G59</f>
        <v>2</v>
      </c>
    </row>
    <row r="17" spans="1:5">
      <c r="A17" s="198"/>
      <c r="B17" s="195"/>
      <c r="C17" s="185"/>
      <c r="D17" s="57" t="s">
        <v>248</v>
      </c>
      <c r="E17" s="27">
        <f>'Tabulasi Data Responden'!G60</f>
        <v>96</v>
      </c>
    </row>
    <row r="18" spans="1:5">
      <c r="A18" s="185" t="s">
        <v>25</v>
      </c>
      <c r="B18" s="199" t="s">
        <v>230</v>
      </c>
      <c r="C18" s="185" t="s">
        <v>231</v>
      </c>
      <c r="D18" s="57">
        <v>0</v>
      </c>
      <c r="E18" s="27">
        <f>'Tabulasi Data Responden'!H58</f>
        <v>6</v>
      </c>
    </row>
    <row r="19" spans="1:5">
      <c r="A19" s="185"/>
      <c r="B19" s="199"/>
      <c r="C19" s="185"/>
      <c r="D19" s="57" t="s">
        <v>246</v>
      </c>
      <c r="E19" s="27">
        <f>'Tabulasi Data Responden'!H59</f>
        <v>28.000000000000004</v>
      </c>
    </row>
    <row r="20" spans="1:5">
      <c r="A20" s="185"/>
      <c r="B20" s="199"/>
      <c r="C20" s="185"/>
      <c r="D20" s="57" t="s">
        <v>247</v>
      </c>
      <c r="E20" s="27">
        <f>'Tabulasi Data Responden'!H60</f>
        <v>46</v>
      </c>
    </row>
    <row r="21" spans="1:5">
      <c r="A21" s="185"/>
      <c r="B21" s="199"/>
      <c r="C21" s="185"/>
      <c r="D21" s="59" t="s">
        <v>232</v>
      </c>
      <c r="E21" s="27">
        <f>'Tabulasi Data Responden'!H61</f>
        <v>20</v>
      </c>
    </row>
    <row r="22" spans="1:5">
      <c r="A22" s="196" t="s">
        <v>26</v>
      </c>
      <c r="B22" s="191" t="s">
        <v>233</v>
      </c>
      <c r="C22" s="185" t="s">
        <v>234</v>
      </c>
      <c r="D22" s="61">
        <v>0</v>
      </c>
      <c r="E22" s="27">
        <f>'Tabulasi Data Responden'!I58</f>
        <v>20</v>
      </c>
    </row>
    <row r="23" spans="1:5">
      <c r="A23" s="197"/>
      <c r="B23" s="200"/>
      <c r="C23" s="185"/>
      <c r="D23" s="61">
        <v>3</v>
      </c>
      <c r="E23" s="27">
        <f>'Tabulasi Data Responden'!I59</f>
        <v>20</v>
      </c>
    </row>
    <row r="24" spans="1:5">
      <c r="A24" s="197"/>
      <c r="B24" s="200"/>
      <c r="C24" s="185"/>
      <c r="D24" s="61">
        <v>5</v>
      </c>
      <c r="E24" s="27">
        <f>'Tabulasi Data Responden'!I60</f>
        <v>20</v>
      </c>
    </row>
    <row r="25" spans="1:5">
      <c r="A25" s="197"/>
      <c r="B25" s="200"/>
      <c r="C25" s="185"/>
      <c r="D25" s="61">
        <v>7</v>
      </c>
      <c r="E25" s="27">
        <f>'Tabulasi Data Responden'!I61</f>
        <v>20</v>
      </c>
    </row>
    <row r="26" spans="1:5">
      <c r="A26" s="198"/>
      <c r="B26" s="201"/>
      <c r="C26" s="185"/>
      <c r="D26" s="61">
        <v>10</v>
      </c>
      <c r="E26" s="27">
        <f>'Tabulasi Data Responden'!I62</f>
        <v>20</v>
      </c>
    </row>
    <row r="27" spans="1:5">
      <c r="A27" s="185" t="s">
        <v>27</v>
      </c>
      <c r="B27" s="186" t="s">
        <v>6</v>
      </c>
      <c r="C27" s="185" t="s">
        <v>235</v>
      </c>
      <c r="D27" s="53" t="s">
        <v>236</v>
      </c>
      <c r="E27" s="27">
        <f>'Tabulasi Data Responden'!J58</f>
        <v>32</v>
      </c>
    </row>
    <row r="28" spans="1:5">
      <c r="A28" s="185"/>
      <c r="B28" s="186"/>
      <c r="C28" s="185"/>
      <c r="D28" s="57" t="s">
        <v>250</v>
      </c>
      <c r="E28" s="27">
        <f>'Tabulasi Data Responden'!J59</f>
        <v>42</v>
      </c>
    </row>
    <row r="29" spans="1:5">
      <c r="A29" s="185"/>
      <c r="B29" s="186"/>
      <c r="C29" s="185"/>
      <c r="D29" s="53" t="s">
        <v>237</v>
      </c>
      <c r="E29" s="27">
        <f>'Tabulasi Data Responden'!J60</f>
        <v>26</v>
      </c>
    </row>
    <row r="30" spans="1:5" ht="29" hidden="1" customHeight="1">
      <c r="A30" s="185" t="s">
        <v>28</v>
      </c>
      <c r="B30" s="199" t="s">
        <v>7</v>
      </c>
      <c r="C30" s="185" t="s">
        <v>249</v>
      </c>
      <c r="D30" s="58" t="s">
        <v>238</v>
      </c>
      <c r="E30" s="7"/>
    </row>
    <row r="31" spans="1:5">
      <c r="A31" s="185"/>
      <c r="B31" s="199"/>
      <c r="C31" s="185"/>
      <c r="D31" s="58" t="s">
        <v>238</v>
      </c>
      <c r="E31" s="6">
        <f>'Tabulasi Data Responden'!K58</f>
        <v>6</v>
      </c>
    </row>
    <row r="32" spans="1:5">
      <c r="A32" s="185"/>
      <c r="B32" s="199"/>
      <c r="C32" s="185"/>
      <c r="D32" s="58" t="s">
        <v>246</v>
      </c>
      <c r="E32" s="6">
        <f>'Tabulasi Data Responden'!K59</f>
        <v>14.000000000000002</v>
      </c>
    </row>
    <row r="33" spans="1:5">
      <c r="A33" s="185"/>
      <c r="B33" s="199"/>
      <c r="C33" s="185"/>
      <c r="D33" s="58" t="s">
        <v>247</v>
      </c>
      <c r="E33" s="6">
        <f>'Tabulasi Data Responden'!K60</f>
        <v>16</v>
      </c>
    </row>
    <row r="34" spans="1:5">
      <c r="A34" s="185"/>
      <c r="B34" s="199"/>
      <c r="C34" s="185"/>
      <c r="D34" s="58" t="s">
        <v>232</v>
      </c>
      <c r="E34" s="6">
        <f>'Tabulasi Data Responden'!K61</f>
        <v>64</v>
      </c>
    </row>
    <row r="35" spans="1:5">
      <c r="A35" s="185" t="s">
        <v>29</v>
      </c>
      <c r="B35" s="185" t="s">
        <v>8</v>
      </c>
      <c r="C35" s="185"/>
      <c r="D35" s="59" t="s">
        <v>239</v>
      </c>
      <c r="E35" s="27">
        <f>'Tabulasi Data Responden'!L59</f>
        <v>34</v>
      </c>
    </row>
    <row r="36" spans="1:5">
      <c r="A36" s="185"/>
      <c r="B36" s="185"/>
      <c r="C36" s="185"/>
      <c r="D36" s="59" t="s">
        <v>240</v>
      </c>
      <c r="E36" s="27">
        <f>'Tabulasi Data Responden'!L60</f>
        <v>52</v>
      </c>
    </row>
    <row r="37" spans="1:5">
      <c r="A37" s="185"/>
      <c r="B37" s="185"/>
      <c r="C37" s="185"/>
      <c r="D37" s="59" t="s">
        <v>241</v>
      </c>
      <c r="E37" s="27">
        <f>'Tabulasi Data Responden'!L61</f>
        <v>6</v>
      </c>
    </row>
    <row r="38" spans="1:5">
      <c r="A38" s="185"/>
      <c r="B38" s="185"/>
      <c r="C38" s="185"/>
      <c r="D38" s="73" t="s">
        <v>242</v>
      </c>
      <c r="E38" s="27">
        <f>'Tabulasi Data Responden'!L62</f>
        <v>0</v>
      </c>
    </row>
    <row r="39" spans="1:5">
      <c r="A39" s="185"/>
      <c r="B39" s="185"/>
      <c r="C39" s="185"/>
      <c r="D39" s="59" t="s">
        <v>243</v>
      </c>
      <c r="E39" s="27">
        <f>'Tabulasi Data Responden'!L63</f>
        <v>0</v>
      </c>
    </row>
    <row r="40" spans="1:5">
      <c r="A40" s="185"/>
      <c r="B40" s="185"/>
      <c r="C40" s="185"/>
      <c r="D40" s="59" t="s">
        <v>306</v>
      </c>
      <c r="E40" s="27">
        <f>'Tabulasi Data Responden'!L64</f>
        <v>2</v>
      </c>
    </row>
    <row r="41" spans="1:5">
      <c r="A41" s="185"/>
      <c r="B41" s="185"/>
      <c r="C41" s="185"/>
      <c r="D41" s="59" t="s">
        <v>244</v>
      </c>
      <c r="E41" s="27">
        <f>'Tabulasi Data Responden'!L65</f>
        <v>6</v>
      </c>
    </row>
    <row r="42" spans="1:5">
      <c r="A42" s="185"/>
      <c r="B42" s="185"/>
      <c r="C42" s="185"/>
      <c r="D42" s="59" t="s">
        <v>245</v>
      </c>
      <c r="E42" s="27">
        <f>'Tabulasi Data Responden'!L66</f>
        <v>0</v>
      </c>
    </row>
    <row r="43" spans="1:5">
      <c r="A43" s="185"/>
      <c r="B43" s="185"/>
      <c r="C43" s="185"/>
      <c r="D43" s="59" t="s">
        <v>302</v>
      </c>
      <c r="E43" s="27">
        <f>'Tabulasi Data Responden'!L67</f>
        <v>0</v>
      </c>
    </row>
  </sheetData>
  <mergeCells count="27">
    <mergeCell ref="C35:C43"/>
    <mergeCell ref="B35:B43"/>
    <mergeCell ref="A35:A43"/>
    <mergeCell ref="C27:C29"/>
    <mergeCell ref="B27:B29"/>
    <mergeCell ref="A27:A29"/>
    <mergeCell ref="C30:C34"/>
    <mergeCell ref="B30:B34"/>
    <mergeCell ref="A30:A34"/>
    <mergeCell ref="C18:C21"/>
    <mergeCell ref="B18:B21"/>
    <mergeCell ref="A18:A21"/>
    <mergeCell ref="C22:C26"/>
    <mergeCell ref="B22:B26"/>
    <mergeCell ref="A22:A26"/>
    <mergeCell ref="C10:C14"/>
    <mergeCell ref="B10:B14"/>
    <mergeCell ref="A10:A14"/>
    <mergeCell ref="C15:C17"/>
    <mergeCell ref="B15:B17"/>
    <mergeCell ref="A15:A17"/>
    <mergeCell ref="C4:C7"/>
    <mergeCell ref="B4:B7"/>
    <mergeCell ref="A4:A7"/>
    <mergeCell ref="C8:C9"/>
    <mergeCell ref="B8:B9"/>
    <mergeCell ref="A8:A9"/>
  </mergeCell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zoomScale="30" zoomScaleNormal="30" workbookViewId="0">
      <pane xSplit="1" ySplit="3" topLeftCell="F4" activePane="bottomRight" state="frozen"/>
      <selection pane="topRight" activeCell="B1" sqref="B1"/>
      <selection pane="bottomLeft" activeCell="A4" sqref="A4"/>
      <selection pane="bottomRight" activeCell="Z13" sqref="Z13"/>
    </sheetView>
  </sheetViews>
  <sheetFormatPr defaultRowHeight="14.5"/>
  <cols>
    <col min="1" max="1" width="7.7265625" customWidth="1"/>
    <col min="2" max="2" width="20.81640625" customWidth="1"/>
    <col min="3" max="3" width="29.54296875" customWidth="1"/>
    <col min="4" max="4" width="14.453125" bestFit="1" customWidth="1"/>
  </cols>
  <sheetData>
    <row r="1" spans="1:4">
      <c r="A1" s="1" t="s">
        <v>251</v>
      </c>
    </row>
    <row r="3" spans="1:4" ht="28">
      <c r="A3" s="70" t="s">
        <v>0</v>
      </c>
      <c r="B3" s="70" t="s">
        <v>252</v>
      </c>
      <c r="C3" s="70" t="s">
        <v>254</v>
      </c>
      <c r="D3" s="71" t="s">
        <v>197</v>
      </c>
    </row>
    <row r="4" spans="1:4">
      <c r="A4" s="185" t="s">
        <v>21</v>
      </c>
      <c r="B4" s="199" t="s">
        <v>10</v>
      </c>
      <c r="C4" s="72" t="s">
        <v>253</v>
      </c>
      <c r="D4" s="77">
        <f>'Tabulasi Data Responden'!N58</f>
        <v>15.32258064516129</v>
      </c>
    </row>
    <row r="5" spans="1:4">
      <c r="A5" s="185"/>
      <c r="B5" s="199"/>
      <c r="C5" s="72" t="s">
        <v>255</v>
      </c>
      <c r="D5" s="77">
        <f>'Tabulasi Data Responden'!O58</f>
        <v>23.387096774193548</v>
      </c>
    </row>
    <row r="6" spans="1:4">
      <c r="A6" s="185"/>
      <c r="B6" s="199"/>
      <c r="C6" s="72" t="s">
        <v>256</v>
      </c>
      <c r="D6" s="77">
        <f>'Tabulasi Data Responden'!P58</f>
        <v>16.93548387096774</v>
      </c>
    </row>
    <row r="7" spans="1:4">
      <c r="A7" s="185"/>
      <c r="B7" s="199"/>
      <c r="C7" s="62" t="s">
        <v>257</v>
      </c>
      <c r="D7" s="77">
        <f>'Tabulasi Data Responden'!Q58</f>
        <v>11.29032258064516</v>
      </c>
    </row>
    <row r="8" spans="1:4">
      <c r="A8" s="185"/>
      <c r="B8" s="199"/>
      <c r="C8" s="62" t="s">
        <v>258</v>
      </c>
      <c r="D8" s="77">
        <f>'Tabulasi Data Responden'!R58</f>
        <v>6.4516129032258061</v>
      </c>
    </row>
    <row r="9" spans="1:4" ht="16.5" customHeight="1">
      <c r="A9" s="185"/>
      <c r="B9" s="199"/>
      <c r="C9" s="72" t="s">
        <v>259</v>
      </c>
      <c r="D9" s="77">
        <f>'Tabulasi Data Responden'!S58</f>
        <v>26.612903225806448</v>
      </c>
    </row>
    <row r="10" spans="1:4" ht="43.5" hidden="1" customHeight="1">
      <c r="A10" s="185" t="s">
        <v>22</v>
      </c>
      <c r="B10" s="199" t="s">
        <v>312</v>
      </c>
      <c r="C10" s="68" t="s">
        <v>260</v>
      </c>
      <c r="D10" s="7"/>
    </row>
    <row r="11" spans="1:4" ht="13.5" customHeight="1">
      <c r="A11" s="185"/>
      <c r="B11" s="199"/>
      <c r="C11" s="68" t="s">
        <v>260</v>
      </c>
      <c r="D11" s="6">
        <f>'Tabulasi Data Responden'!T58</f>
        <v>0</v>
      </c>
    </row>
    <row r="12" spans="1:4">
      <c r="A12" s="185"/>
      <c r="B12" s="199"/>
      <c r="C12" s="68" t="s">
        <v>261</v>
      </c>
      <c r="D12" s="6">
        <f>'Tabulasi Data Responden'!T59</f>
        <v>6</v>
      </c>
    </row>
    <row r="13" spans="1:4">
      <c r="A13" s="185"/>
      <c r="B13" s="199"/>
      <c r="C13" s="68" t="s">
        <v>262</v>
      </c>
      <c r="D13" s="6">
        <f>'Tabulasi Data Responden'!T60</f>
        <v>18</v>
      </c>
    </row>
    <row r="14" spans="1:4">
      <c r="A14" s="185"/>
      <c r="B14" s="199"/>
      <c r="C14" s="68" t="s">
        <v>263</v>
      </c>
      <c r="D14" s="6">
        <f>'Tabulasi Data Responden'!T61</f>
        <v>24</v>
      </c>
    </row>
    <row r="15" spans="1:4">
      <c r="A15" s="185"/>
      <c r="B15" s="199"/>
      <c r="C15" s="68" t="s">
        <v>264</v>
      </c>
      <c r="D15" s="6">
        <f>'Tabulasi Data Responden'!T62</f>
        <v>16</v>
      </c>
    </row>
    <row r="16" spans="1:4">
      <c r="A16" s="185"/>
      <c r="B16" s="199"/>
      <c r="C16" s="68" t="s">
        <v>265</v>
      </c>
      <c r="D16" s="6">
        <f>'Tabulasi Data Responden'!T63</f>
        <v>14.000000000000002</v>
      </c>
    </row>
    <row r="17" spans="1:4">
      <c r="A17" s="185"/>
      <c r="B17" s="199"/>
      <c r="C17" s="68" t="s">
        <v>266</v>
      </c>
      <c r="D17" s="6">
        <f>'Tabulasi Data Responden'!T64</f>
        <v>10</v>
      </c>
    </row>
    <row r="18" spans="1:4">
      <c r="A18" s="185"/>
      <c r="B18" s="199"/>
      <c r="C18" s="68" t="s">
        <v>267</v>
      </c>
      <c r="D18" s="6">
        <f>'Tabulasi Data Responden'!T65</f>
        <v>12</v>
      </c>
    </row>
    <row r="19" spans="1:4">
      <c r="A19" s="185" t="s">
        <v>23</v>
      </c>
      <c r="B19" s="202" t="s">
        <v>11</v>
      </c>
      <c r="C19" s="68" t="s">
        <v>301</v>
      </c>
      <c r="D19" s="6">
        <f>'Tabulasi Data Responden'!V58</f>
        <v>56.000000000000007</v>
      </c>
    </row>
    <row r="20" spans="1:4">
      <c r="A20" s="185"/>
      <c r="B20" s="202"/>
      <c r="C20" s="68" t="s">
        <v>268</v>
      </c>
      <c r="D20" s="6">
        <f>'Tabulasi Data Responden'!V59</f>
        <v>6</v>
      </c>
    </row>
    <row r="21" spans="1:4">
      <c r="A21" s="185"/>
      <c r="B21" s="202"/>
      <c r="C21" s="68" t="s">
        <v>269</v>
      </c>
      <c r="D21" s="6">
        <f>'Tabulasi Data Responden'!V60</f>
        <v>38</v>
      </c>
    </row>
    <row r="22" spans="1:4" ht="13.5" customHeight="1">
      <c r="A22" s="185" t="s">
        <v>24</v>
      </c>
      <c r="B22" s="199" t="s">
        <v>270</v>
      </c>
      <c r="C22" s="69" t="s">
        <v>271</v>
      </c>
      <c r="D22" s="27">
        <f>'Tabulasi Data Responden'!W58</f>
        <v>6</v>
      </c>
    </row>
    <row r="23" spans="1:4" ht="16.5" customHeight="1">
      <c r="A23" s="185"/>
      <c r="B23" s="199"/>
      <c r="C23" s="69" t="s">
        <v>272</v>
      </c>
      <c r="D23" s="27">
        <f>'Tabulasi Data Responden'!W59</f>
        <v>68</v>
      </c>
    </row>
    <row r="24" spans="1:4" ht="16" customHeight="1">
      <c r="A24" s="185"/>
      <c r="B24" s="199"/>
      <c r="C24" s="69" t="s">
        <v>273</v>
      </c>
      <c r="D24" s="27">
        <f>'Tabulasi Data Responden'!W60</f>
        <v>26</v>
      </c>
    </row>
    <row r="25" spans="1:4" ht="18" customHeight="1">
      <c r="A25" s="185" t="s">
        <v>25</v>
      </c>
      <c r="B25" s="199" t="s">
        <v>274</v>
      </c>
      <c r="C25" s="69" t="s">
        <v>275</v>
      </c>
      <c r="D25" s="6">
        <f>'Tabulasi Data Responden'!X58</f>
        <v>28.000000000000004</v>
      </c>
    </row>
    <row r="26" spans="1:4">
      <c r="A26" s="185"/>
      <c r="B26" s="199"/>
      <c r="C26" s="69" t="s">
        <v>276</v>
      </c>
      <c r="D26" s="6">
        <f>'Tabulasi Data Responden'!X59</f>
        <v>18</v>
      </c>
    </row>
    <row r="27" spans="1:4">
      <c r="A27" s="185"/>
      <c r="B27" s="199"/>
      <c r="C27" s="69" t="s">
        <v>277</v>
      </c>
      <c r="D27" s="6">
        <f>'Tabulasi Data Responden'!X60</f>
        <v>10</v>
      </c>
    </row>
    <row r="28" spans="1:4">
      <c r="A28" s="185"/>
      <c r="B28" s="199"/>
      <c r="C28" s="69" t="s">
        <v>278</v>
      </c>
      <c r="D28" s="6">
        <f>'Tabulasi Data Responden'!X61</f>
        <v>14.000000000000002</v>
      </c>
    </row>
    <row r="29" spans="1:4">
      <c r="A29" s="185"/>
      <c r="B29" s="199"/>
      <c r="C29" s="69" t="s">
        <v>279</v>
      </c>
      <c r="D29" s="6">
        <f>'Tabulasi Data Responden'!X62</f>
        <v>26</v>
      </c>
    </row>
    <row r="30" spans="1:4">
      <c r="A30" s="185"/>
      <c r="B30" s="199"/>
      <c r="C30" s="69" t="s">
        <v>280</v>
      </c>
      <c r="D30" s="6">
        <f>'Tabulasi Data Responden'!X63</f>
        <v>4</v>
      </c>
    </row>
    <row r="31" spans="1:4" ht="16.5" customHeight="1">
      <c r="A31" s="196" t="s">
        <v>26</v>
      </c>
      <c r="B31" s="193" t="s">
        <v>281</v>
      </c>
      <c r="C31" s="69" t="s">
        <v>275</v>
      </c>
      <c r="D31" s="6">
        <f>'Tabulasi Data Responden'!Y58</f>
        <v>2</v>
      </c>
    </row>
    <row r="32" spans="1:4">
      <c r="A32" s="197"/>
      <c r="B32" s="194"/>
      <c r="C32" s="69" t="s">
        <v>276</v>
      </c>
      <c r="D32" s="6">
        <f>'Tabulasi Data Responden'!Y59</f>
        <v>44</v>
      </c>
    </row>
    <row r="33" spans="1:4">
      <c r="A33" s="197"/>
      <c r="B33" s="194"/>
      <c r="C33" s="69" t="s">
        <v>277</v>
      </c>
      <c r="D33" s="6">
        <f>'Tabulasi Data Responden'!Y60</f>
        <v>38</v>
      </c>
    </row>
    <row r="34" spans="1:4">
      <c r="A34" s="197"/>
      <c r="B34" s="194"/>
      <c r="C34" s="69" t="s">
        <v>278</v>
      </c>
      <c r="D34" s="6">
        <f>'Tabulasi Data Responden'!Y61</f>
        <v>2</v>
      </c>
    </row>
    <row r="35" spans="1:4">
      <c r="A35" s="197"/>
      <c r="B35" s="194"/>
      <c r="C35" s="69" t="s">
        <v>279</v>
      </c>
      <c r="D35" s="6">
        <f>'Tabulasi Data Responden'!Y62</f>
        <v>10</v>
      </c>
    </row>
    <row r="36" spans="1:4" ht="15.5" customHeight="1">
      <c r="A36" s="198"/>
      <c r="B36" s="195"/>
      <c r="C36" s="69" t="s">
        <v>280</v>
      </c>
      <c r="D36" s="6">
        <f>'Tabulasi Data Responden'!Y63</f>
        <v>4</v>
      </c>
    </row>
    <row r="37" spans="1:4" ht="28.5" customHeight="1">
      <c r="A37" s="203" t="s">
        <v>27</v>
      </c>
      <c r="B37" s="199" t="s">
        <v>282</v>
      </c>
      <c r="C37" s="54" t="s">
        <v>283</v>
      </c>
      <c r="D37" s="27">
        <f>'Tabulasi Data Responden'!Z58</f>
        <v>62</v>
      </c>
    </row>
    <row r="38" spans="1:4" ht="51.5" customHeight="1">
      <c r="A38" s="203"/>
      <c r="B38" s="199"/>
      <c r="C38" s="69" t="s">
        <v>284</v>
      </c>
      <c r="D38" s="27">
        <f>'Tabulasi Data Responden'!Z59</f>
        <v>38</v>
      </c>
    </row>
    <row r="39" spans="1:4" ht="25.5" customHeight="1">
      <c r="A39" s="185" t="s">
        <v>28</v>
      </c>
      <c r="B39" s="199" t="s">
        <v>171</v>
      </c>
      <c r="C39" s="69" t="s">
        <v>307</v>
      </c>
      <c r="D39" s="27">
        <f>'Tabulasi Data Responden'!AA58</f>
        <v>0</v>
      </c>
    </row>
    <row r="40" spans="1:4" ht="26.5" customHeight="1">
      <c r="A40" s="185"/>
      <c r="B40" s="199"/>
      <c r="C40" s="69" t="s">
        <v>308</v>
      </c>
      <c r="D40" s="27">
        <f>'Tabulasi Data Responden'!AA59</f>
        <v>26</v>
      </c>
    </row>
    <row r="41" spans="1:4" ht="30" customHeight="1">
      <c r="A41" s="185"/>
      <c r="B41" s="199"/>
      <c r="C41" s="69" t="s">
        <v>309</v>
      </c>
      <c r="D41" s="27">
        <f>'Tabulasi Data Responden'!AA60</f>
        <v>74</v>
      </c>
    </row>
    <row r="42" spans="1:4" ht="32" customHeight="1">
      <c r="A42" s="185" t="s">
        <v>29</v>
      </c>
      <c r="B42" s="199" t="s">
        <v>285</v>
      </c>
      <c r="C42" s="69" t="s">
        <v>286</v>
      </c>
      <c r="D42" s="27">
        <f>'Tabulasi Data Responden'!AB58</f>
        <v>6</v>
      </c>
    </row>
    <row r="43" spans="1:4" ht="28">
      <c r="A43" s="185"/>
      <c r="B43" s="199"/>
      <c r="C43" s="69" t="s">
        <v>287</v>
      </c>
      <c r="D43" s="27">
        <f>'Tabulasi Data Responden'!AB59</f>
        <v>50</v>
      </c>
    </row>
    <row r="44" spans="1:4" ht="28">
      <c r="A44" s="185"/>
      <c r="B44" s="199"/>
      <c r="C44" s="69" t="s">
        <v>288</v>
      </c>
      <c r="D44" s="27">
        <f>'Tabulasi Data Responden'!AB60</f>
        <v>28.000000000000004</v>
      </c>
    </row>
    <row r="45" spans="1:4">
      <c r="A45" s="185"/>
      <c r="B45" s="199"/>
      <c r="C45" s="69" t="s">
        <v>289</v>
      </c>
      <c r="D45" s="27">
        <f>'Tabulasi Data Responden'!AB61</f>
        <v>14.000000000000002</v>
      </c>
    </row>
    <row r="46" spans="1:4" ht="28">
      <c r="A46" s="185"/>
      <c r="B46" s="199"/>
      <c r="C46" s="69" t="s">
        <v>290</v>
      </c>
      <c r="D46" s="27">
        <f>'Tabulasi Data Responden'!AB62</f>
        <v>2</v>
      </c>
    </row>
    <row r="47" spans="1:4" ht="15.5" customHeight="1">
      <c r="A47" s="196" t="s">
        <v>30</v>
      </c>
      <c r="B47" s="193" t="s">
        <v>17</v>
      </c>
      <c r="C47" s="69" t="s">
        <v>291</v>
      </c>
      <c r="D47" s="6">
        <f>'Tabulasi Data Responden'!AC58</f>
        <v>28.000000000000004</v>
      </c>
    </row>
    <row r="48" spans="1:4">
      <c r="A48" s="197"/>
      <c r="B48" s="194"/>
      <c r="C48" s="69" t="s">
        <v>292</v>
      </c>
      <c r="D48" s="6">
        <f>'Tabulasi Data Responden'!AC59</f>
        <v>48</v>
      </c>
    </row>
    <row r="49" spans="1:4">
      <c r="A49" s="198"/>
      <c r="B49" s="195"/>
      <c r="C49" s="69" t="s">
        <v>293</v>
      </c>
      <c r="D49" s="6">
        <f>'Tabulasi Data Responden'!AC60</f>
        <v>24</v>
      </c>
    </row>
    <row r="50" spans="1:4" ht="27.5" customHeight="1">
      <c r="A50" s="185" t="s">
        <v>31</v>
      </c>
      <c r="B50" s="199" t="s">
        <v>294</v>
      </c>
      <c r="C50" s="69" t="s">
        <v>310</v>
      </c>
      <c r="D50" s="6">
        <f>'Tabulasi Data Responden'!AD58</f>
        <v>8</v>
      </c>
    </row>
    <row r="51" spans="1:4" ht="28">
      <c r="A51" s="185"/>
      <c r="B51" s="199"/>
      <c r="C51" s="69" t="s">
        <v>311</v>
      </c>
      <c r="D51" s="6">
        <f>'Tabulasi Data Responden'!AD59</f>
        <v>12</v>
      </c>
    </row>
    <row r="52" spans="1:4">
      <c r="A52" s="185"/>
      <c r="B52" s="199"/>
      <c r="C52" s="69" t="s">
        <v>295</v>
      </c>
      <c r="D52" s="6">
        <f>'Tabulasi Data Responden'!AD60</f>
        <v>80</v>
      </c>
    </row>
    <row r="53" spans="1:4" ht="19.5" customHeight="1">
      <c r="A53" s="185" t="s">
        <v>32</v>
      </c>
      <c r="B53" s="199" t="s">
        <v>296</v>
      </c>
      <c r="C53" s="69" t="s">
        <v>297</v>
      </c>
      <c r="D53" s="6">
        <f>'Tabulasi Data Responden'!AE58</f>
        <v>0</v>
      </c>
    </row>
    <row r="54" spans="1:4" ht="28">
      <c r="A54" s="185"/>
      <c r="B54" s="199"/>
      <c r="C54" s="69" t="s">
        <v>298</v>
      </c>
      <c r="D54" s="6">
        <f>'Tabulasi Data Responden'!AE59</f>
        <v>0</v>
      </c>
    </row>
    <row r="55" spans="1:4">
      <c r="A55" s="185"/>
      <c r="B55" s="199"/>
      <c r="C55" s="69" t="s">
        <v>299</v>
      </c>
      <c r="D55" s="6">
        <f>'Tabulasi Data Responden'!AE60</f>
        <v>28.000000000000004</v>
      </c>
    </row>
    <row r="56" spans="1:4" ht="28">
      <c r="A56" s="185"/>
      <c r="B56" s="199"/>
      <c r="C56" s="69" t="s">
        <v>300</v>
      </c>
      <c r="D56" s="6">
        <f>'Tabulasi Data Responden'!AE61</f>
        <v>72</v>
      </c>
    </row>
  </sheetData>
  <mergeCells count="24">
    <mergeCell ref="B47:B49"/>
    <mergeCell ref="A47:A49"/>
    <mergeCell ref="B50:B52"/>
    <mergeCell ref="A50:A52"/>
    <mergeCell ref="B53:B56"/>
    <mergeCell ref="A53:A56"/>
    <mergeCell ref="B37:B38"/>
    <mergeCell ref="A37:A38"/>
    <mergeCell ref="B39:B41"/>
    <mergeCell ref="A39:A41"/>
    <mergeCell ref="B42:B46"/>
    <mergeCell ref="A42:A46"/>
    <mergeCell ref="B22:B24"/>
    <mergeCell ref="A22:A24"/>
    <mergeCell ref="B25:B30"/>
    <mergeCell ref="A25:A30"/>
    <mergeCell ref="B31:B36"/>
    <mergeCell ref="A31:A36"/>
    <mergeCell ref="B4:B9"/>
    <mergeCell ref="A4:A9"/>
    <mergeCell ref="B10:B18"/>
    <mergeCell ref="A10:A18"/>
    <mergeCell ref="B19:B21"/>
    <mergeCell ref="A19:A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04"/>
  <sheetViews>
    <sheetView tabSelected="1" zoomScale="78" zoomScaleNormal="78" workbookViewId="0">
      <pane xSplit="2" ySplit="4" topLeftCell="AZ5" activePane="bottomRight" state="frozen"/>
      <selection pane="topRight" activeCell="C1" sqref="C1"/>
      <selection pane="bottomLeft" activeCell="A5" sqref="A5"/>
      <selection pane="bottomRight" activeCell="BE5" sqref="BE5"/>
    </sheetView>
  </sheetViews>
  <sheetFormatPr defaultRowHeight="14.5"/>
  <cols>
    <col min="1" max="1" width="5.453125" customWidth="1"/>
    <col min="2" max="2" width="19.26953125" customWidth="1"/>
    <col min="3" max="3" width="12.26953125" customWidth="1"/>
    <col min="4" max="4" width="13.54296875" customWidth="1"/>
    <col min="5" max="5" width="13.81640625" customWidth="1"/>
    <col min="6" max="6" width="11.7265625" customWidth="1"/>
    <col min="7" max="7" width="9.7265625" customWidth="1"/>
    <col min="8" max="8" width="13.81640625" customWidth="1"/>
    <col min="9" max="9" width="12" customWidth="1"/>
    <col min="10" max="10" width="15" customWidth="1"/>
    <col min="11" max="11" width="18.90625" customWidth="1"/>
    <col min="12" max="12" width="11" customWidth="1"/>
    <col min="13" max="13" width="11.453125" customWidth="1"/>
    <col min="14" max="14" width="13.7265625" customWidth="1"/>
    <col min="15" max="15" width="11.90625" customWidth="1"/>
    <col min="16" max="16" width="14.453125" customWidth="1"/>
    <col min="17" max="18" width="11.7265625" customWidth="1"/>
    <col min="19" max="19" width="13.36328125" customWidth="1"/>
    <col min="20" max="20" width="11.7265625" customWidth="1"/>
    <col min="21" max="21" width="13.54296875" customWidth="1"/>
    <col min="22" max="22" width="11.08984375" customWidth="1"/>
    <col min="23" max="23" width="11.90625" customWidth="1"/>
    <col min="24" max="24" width="11.81640625" customWidth="1"/>
    <col min="25" max="25" width="10.90625" customWidth="1"/>
    <col min="26" max="26" width="12.08984375" customWidth="1"/>
    <col min="27" max="27" width="13.6328125" customWidth="1"/>
    <col min="28" max="28" width="12.26953125" customWidth="1"/>
    <col min="29" max="29" width="10.6328125" customWidth="1"/>
    <col min="30" max="30" width="13.1796875" customWidth="1"/>
    <col min="31" max="31" width="16.1796875" bestFit="1" customWidth="1"/>
    <col min="32" max="32" width="14.1796875" customWidth="1"/>
    <col min="33" max="33" width="16" customWidth="1"/>
    <col min="34" max="34" width="11.81640625" customWidth="1"/>
    <col min="35" max="35" width="13.6328125" customWidth="1"/>
    <col min="36" max="36" width="12" customWidth="1"/>
    <col min="37" max="37" width="10.54296875" customWidth="1"/>
    <col min="38" max="38" width="16" customWidth="1"/>
    <col min="39" max="39" width="14.26953125" customWidth="1"/>
    <col min="40" max="40" width="15.1796875" customWidth="1"/>
    <col min="41" max="41" width="14.36328125" customWidth="1"/>
    <col min="42" max="42" width="10" customWidth="1"/>
    <col min="43" max="43" width="15.08984375" customWidth="1"/>
    <col min="44" max="44" width="13.54296875" customWidth="1"/>
    <col min="45" max="45" width="10.54296875" customWidth="1"/>
    <col min="46" max="46" width="12.36328125" customWidth="1"/>
    <col min="47" max="47" width="16.1796875" customWidth="1"/>
    <col min="48" max="48" width="13.36328125" bestFit="1" customWidth="1"/>
    <col min="49" max="49" width="14.36328125" customWidth="1"/>
    <col min="50" max="50" width="18.6328125" customWidth="1"/>
    <col min="51" max="51" width="10.54296875" customWidth="1"/>
    <col min="52" max="52" width="12.54296875" customWidth="1"/>
    <col min="53" max="53" width="12.08984375" customWidth="1"/>
    <col min="54" max="54" width="12.36328125" customWidth="1"/>
    <col min="55" max="55" width="13.81640625" customWidth="1"/>
    <col min="56" max="57" width="14.26953125" customWidth="1"/>
    <col min="58" max="59" width="15.453125" customWidth="1"/>
    <col min="60" max="60" width="16.26953125" customWidth="1"/>
    <col min="61" max="61" width="13.54296875" customWidth="1"/>
    <col min="62" max="62" width="15.54296875" customWidth="1"/>
    <col min="63" max="63" width="16.26953125" bestFit="1" customWidth="1"/>
    <col min="64" max="64" width="14.08984375" customWidth="1"/>
    <col min="65" max="65" width="16.36328125" customWidth="1"/>
  </cols>
  <sheetData>
    <row r="1" spans="1:65">
      <c r="A1" s="1" t="s">
        <v>172</v>
      </c>
    </row>
    <row r="3" spans="1:65" ht="76.5" customHeight="1">
      <c r="A3" s="220" t="s">
        <v>0</v>
      </c>
      <c r="B3" s="219" t="s">
        <v>173</v>
      </c>
      <c r="C3" s="219" t="s">
        <v>174</v>
      </c>
      <c r="D3" s="219"/>
      <c r="E3" s="219"/>
      <c r="F3" s="221" t="s">
        <v>346</v>
      </c>
      <c r="G3" s="222"/>
      <c r="H3" s="222"/>
      <c r="I3" s="222"/>
      <c r="J3" s="223"/>
      <c r="K3" s="214" t="s">
        <v>200</v>
      </c>
      <c r="L3" s="182" t="s">
        <v>347</v>
      </c>
      <c r="M3" s="183"/>
      <c r="N3" s="183"/>
      <c r="O3" s="183"/>
      <c r="P3" s="184"/>
      <c r="Q3" s="182" t="s">
        <v>348</v>
      </c>
      <c r="R3" s="183"/>
      <c r="S3" s="183"/>
      <c r="T3" s="183"/>
      <c r="U3" s="184"/>
      <c r="V3" s="182" t="s">
        <v>349</v>
      </c>
      <c r="W3" s="183"/>
      <c r="X3" s="183"/>
      <c r="Y3" s="183"/>
      <c r="Z3" s="184"/>
      <c r="AA3" s="214" t="s">
        <v>201</v>
      </c>
      <c r="AB3" s="216" t="s">
        <v>204</v>
      </c>
      <c r="AC3" s="217"/>
      <c r="AD3" s="217"/>
      <c r="AE3" s="217"/>
      <c r="AF3" s="217"/>
      <c r="AG3" s="217"/>
      <c r="AH3" s="218"/>
      <c r="AI3" s="214" t="s">
        <v>205</v>
      </c>
      <c r="AJ3" s="182" t="s">
        <v>206</v>
      </c>
      <c r="AK3" s="183"/>
      <c r="AL3" s="183"/>
      <c r="AM3" s="183"/>
      <c r="AN3" s="183"/>
      <c r="AO3" s="183"/>
      <c r="AP3" s="184"/>
      <c r="AQ3" s="214" t="s">
        <v>207</v>
      </c>
      <c r="AR3" s="182" t="s">
        <v>211</v>
      </c>
      <c r="AS3" s="183"/>
      <c r="AT3" s="183"/>
      <c r="AU3" s="183"/>
      <c r="AV3" s="183"/>
      <c r="AW3" s="183"/>
      <c r="AX3" s="183"/>
      <c r="AY3" s="184"/>
      <c r="AZ3" s="182" t="s">
        <v>187</v>
      </c>
      <c r="BA3" s="183"/>
      <c r="BB3" s="184"/>
      <c r="BC3" s="216" t="s">
        <v>190</v>
      </c>
      <c r="BD3" s="217"/>
      <c r="BE3" s="218"/>
      <c r="BF3" s="214" t="s">
        <v>195</v>
      </c>
      <c r="BG3" s="182" t="s">
        <v>191</v>
      </c>
      <c r="BH3" s="183"/>
      <c r="BI3" s="184"/>
      <c r="BJ3" s="182" t="s">
        <v>192</v>
      </c>
      <c r="BK3" s="183"/>
      <c r="BL3" s="183"/>
      <c r="BM3" s="184"/>
    </row>
    <row r="4" spans="1:65" ht="63.5" customHeight="1">
      <c r="A4" s="220"/>
      <c r="B4" s="219"/>
      <c r="C4" s="3" t="s">
        <v>175</v>
      </c>
      <c r="D4" s="3" t="s">
        <v>176</v>
      </c>
      <c r="E4" s="3" t="s">
        <v>177</v>
      </c>
      <c r="F4" s="3" t="s">
        <v>178</v>
      </c>
      <c r="G4" s="3" t="s">
        <v>179</v>
      </c>
      <c r="H4" s="3" t="s">
        <v>180</v>
      </c>
      <c r="I4" s="3" t="s">
        <v>181</v>
      </c>
      <c r="J4" s="3" t="s">
        <v>182</v>
      </c>
      <c r="K4" s="215"/>
      <c r="L4" s="2" t="s">
        <v>178</v>
      </c>
      <c r="M4" s="2" t="s">
        <v>179</v>
      </c>
      <c r="N4" s="2" t="s">
        <v>180</v>
      </c>
      <c r="O4" s="2" t="s">
        <v>181</v>
      </c>
      <c r="P4" s="2" t="s">
        <v>182</v>
      </c>
      <c r="Q4" s="2" t="s">
        <v>178</v>
      </c>
      <c r="R4" s="2" t="s">
        <v>179</v>
      </c>
      <c r="S4" s="2" t="s">
        <v>180</v>
      </c>
      <c r="T4" s="2" t="s">
        <v>181</v>
      </c>
      <c r="U4" s="2" t="s">
        <v>182</v>
      </c>
      <c r="V4" s="2" t="s">
        <v>178</v>
      </c>
      <c r="W4" s="2" t="s">
        <v>179</v>
      </c>
      <c r="X4" s="2" t="s">
        <v>180</v>
      </c>
      <c r="Y4" s="2" t="s">
        <v>181</v>
      </c>
      <c r="Z4" s="2" t="s">
        <v>182</v>
      </c>
      <c r="AA4" s="215"/>
      <c r="AB4" s="2" t="s">
        <v>175</v>
      </c>
      <c r="AC4" s="2" t="s">
        <v>176</v>
      </c>
      <c r="AD4" s="2" t="s">
        <v>177</v>
      </c>
      <c r="AE4" s="2" t="s">
        <v>183</v>
      </c>
      <c r="AF4" s="2" t="s">
        <v>203</v>
      </c>
      <c r="AG4" s="2" t="s">
        <v>202</v>
      </c>
      <c r="AH4" s="2" t="s">
        <v>184</v>
      </c>
      <c r="AI4" s="215"/>
      <c r="AJ4" s="2" t="s">
        <v>185</v>
      </c>
      <c r="AK4" s="2" t="s">
        <v>176</v>
      </c>
      <c r="AL4" s="2" t="s">
        <v>177</v>
      </c>
      <c r="AM4" s="2" t="s">
        <v>183</v>
      </c>
      <c r="AN4" s="2" t="s">
        <v>209</v>
      </c>
      <c r="AO4" s="2" t="s">
        <v>202</v>
      </c>
      <c r="AP4" s="2" t="s">
        <v>184</v>
      </c>
      <c r="AQ4" s="215"/>
      <c r="AR4" s="2" t="s">
        <v>185</v>
      </c>
      <c r="AS4" s="2" t="s">
        <v>176</v>
      </c>
      <c r="AT4" s="2" t="s">
        <v>177</v>
      </c>
      <c r="AU4" s="2" t="s">
        <v>186</v>
      </c>
      <c r="AV4" s="2" t="s">
        <v>183</v>
      </c>
      <c r="AW4" s="2" t="s">
        <v>209</v>
      </c>
      <c r="AX4" s="2" t="s">
        <v>202</v>
      </c>
      <c r="AY4" s="2" t="s">
        <v>184</v>
      </c>
      <c r="AZ4" s="2" t="s">
        <v>188</v>
      </c>
      <c r="BA4" s="2" t="s">
        <v>189</v>
      </c>
      <c r="BB4" s="2" t="s">
        <v>194</v>
      </c>
      <c r="BC4" s="2" t="s">
        <v>188</v>
      </c>
      <c r="BD4" s="2" t="s">
        <v>189</v>
      </c>
      <c r="BE4" s="2" t="s">
        <v>194</v>
      </c>
      <c r="BF4" s="215"/>
      <c r="BG4" s="2" t="s">
        <v>188</v>
      </c>
      <c r="BH4" s="2" t="s">
        <v>189</v>
      </c>
      <c r="BI4" s="2" t="s">
        <v>194</v>
      </c>
      <c r="BJ4" s="2" t="s">
        <v>188</v>
      </c>
      <c r="BK4" s="2" t="s">
        <v>189</v>
      </c>
      <c r="BL4" s="2" t="s">
        <v>193</v>
      </c>
      <c r="BM4" s="2" t="s">
        <v>194</v>
      </c>
    </row>
    <row r="5" spans="1:65">
      <c r="A5" s="6" t="s">
        <v>21</v>
      </c>
      <c r="B5" s="7" t="s">
        <v>71</v>
      </c>
      <c r="C5" s="6">
        <v>1</v>
      </c>
      <c r="D5" s="6">
        <v>3</v>
      </c>
      <c r="E5" s="12">
        <f>C5/D5</f>
        <v>0.33333333333333331</v>
      </c>
      <c r="F5" s="6">
        <v>4</v>
      </c>
      <c r="G5" s="80">
        <v>3</v>
      </c>
      <c r="H5" s="6">
        <v>4</v>
      </c>
      <c r="I5" s="26">
        <f>5000*H5</f>
        <v>20000</v>
      </c>
      <c r="J5" s="26">
        <v>95000</v>
      </c>
      <c r="K5" s="27">
        <v>1</v>
      </c>
      <c r="L5" s="6">
        <v>4.5</v>
      </c>
      <c r="M5" s="80">
        <v>4</v>
      </c>
      <c r="N5" s="6">
        <v>6.5</v>
      </c>
      <c r="O5" s="26">
        <f>5000*N5</f>
        <v>32500</v>
      </c>
      <c r="P5" s="26">
        <v>150000</v>
      </c>
      <c r="Q5" s="81">
        <f>L5-F5</f>
        <v>0.5</v>
      </c>
      <c r="R5" s="81">
        <f>M5-G5</f>
        <v>1</v>
      </c>
      <c r="S5" s="79">
        <f>N5-H5</f>
        <v>2.5</v>
      </c>
      <c r="T5" s="26">
        <f>O5-I5</f>
        <v>12500</v>
      </c>
      <c r="U5" s="26">
        <f>P5-J5</f>
        <v>55000</v>
      </c>
      <c r="V5" s="26">
        <f>Q5/F5*100</f>
        <v>12.5</v>
      </c>
      <c r="W5" s="26">
        <f>R5/G5*100</f>
        <v>33.333333333333329</v>
      </c>
      <c r="X5" s="26">
        <f>S5/H5*100</f>
        <v>62.5</v>
      </c>
      <c r="Y5" s="26">
        <f>T5/I5*100</f>
        <v>62.5</v>
      </c>
      <c r="Z5" s="26">
        <f>U5/P5*100</f>
        <v>36.666666666666664</v>
      </c>
      <c r="AA5" s="6">
        <v>1</v>
      </c>
      <c r="AB5" s="6">
        <v>1</v>
      </c>
      <c r="AC5" s="6">
        <v>3</v>
      </c>
      <c r="AD5" s="12">
        <f>AB5/AC5</f>
        <v>0.33333333333333331</v>
      </c>
      <c r="AE5" s="28">
        <v>150000</v>
      </c>
      <c r="AF5" s="29">
        <f>AD5*AE5</f>
        <v>50000</v>
      </c>
      <c r="AG5" s="6" t="s">
        <v>212</v>
      </c>
      <c r="AH5" s="6">
        <v>2</v>
      </c>
      <c r="AI5" s="6">
        <v>0</v>
      </c>
      <c r="AJ5" s="6">
        <v>0</v>
      </c>
      <c r="AK5" s="6">
        <v>0</v>
      </c>
      <c r="AL5" s="6">
        <v>0</v>
      </c>
      <c r="AM5" s="7">
        <v>0</v>
      </c>
      <c r="AN5" s="7">
        <v>0</v>
      </c>
      <c r="AO5" s="7">
        <v>0</v>
      </c>
      <c r="AP5" s="89">
        <v>0</v>
      </c>
      <c r="AQ5" s="6">
        <v>1</v>
      </c>
      <c r="AR5" s="6">
        <v>1</v>
      </c>
      <c r="AS5" s="6">
        <v>2</v>
      </c>
      <c r="AT5" s="12">
        <f>AR5/AS5</f>
        <v>0.5</v>
      </c>
      <c r="AU5" s="7" t="s">
        <v>208</v>
      </c>
      <c r="AV5" s="28">
        <v>150000</v>
      </c>
      <c r="AW5" s="30">
        <f>AT5*AV5</f>
        <v>75000</v>
      </c>
      <c r="AX5" s="30" t="s">
        <v>213</v>
      </c>
      <c r="AY5" s="6">
        <v>4</v>
      </c>
      <c r="AZ5" s="7">
        <v>70</v>
      </c>
      <c r="BA5" s="7">
        <v>65</v>
      </c>
      <c r="BB5" s="106">
        <f>(BA5-AZ5)/AZ5*100</f>
        <v>-7.1428571428571423</v>
      </c>
      <c r="BC5" s="31">
        <f t="shared" ref="BC5:BC14" si="0">I5+J5</f>
        <v>115000</v>
      </c>
      <c r="BD5" s="31">
        <f t="shared" ref="BD5:BD14" si="1">O5+P5+AF5+AN5+AW5</f>
        <v>307500</v>
      </c>
      <c r="BE5" s="90">
        <f>(BD5-BC5)/BC5*100</f>
        <v>167.39130434782609</v>
      </c>
      <c r="BF5" s="6">
        <v>10</v>
      </c>
      <c r="BG5" s="28">
        <v>4000000</v>
      </c>
      <c r="BH5" s="28">
        <v>3000000</v>
      </c>
      <c r="BI5" s="94">
        <f>(BH5-BG5)/BG5*100</f>
        <v>-25</v>
      </c>
      <c r="BJ5" s="31">
        <f>BG5-BC5</f>
        <v>3885000</v>
      </c>
      <c r="BK5" s="31">
        <f>BH5-BD5</f>
        <v>2692500</v>
      </c>
      <c r="BL5" s="28">
        <f>BK5-BJ5</f>
        <v>-1192500</v>
      </c>
      <c r="BM5" s="12">
        <f>BL5/BJ5*100</f>
        <v>-30.694980694980696</v>
      </c>
    </row>
    <row r="6" spans="1:65">
      <c r="A6" s="6" t="s">
        <v>22</v>
      </c>
      <c r="B6" s="7" t="s">
        <v>72</v>
      </c>
      <c r="C6" s="6">
        <v>1</v>
      </c>
      <c r="D6" s="6">
        <v>2</v>
      </c>
      <c r="E6" s="12">
        <f t="shared" ref="E6:E14" si="2">C6/D6</f>
        <v>0.5</v>
      </c>
      <c r="F6" s="6">
        <v>1</v>
      </c>
      <c r="G6" s="80">
        <v>1</v>
      </c>
      <c r="H6" s="6">
        <v>3.5</v>
      </c>
      <c r="I6" s="26">
        <f t="shared" ref="I6:I14" si="3">5000*H6</f>
        <v>17500</v>
      </c>
      <c r="J6" s="26">
        <v>50000</v>
      </c>
      <c r="K6" s="27">
        <v>1</v>
      </c>
      <c r="L6" s="6">
        <v>1.5</v>
      </c>
      <c r="M6" s="80">
        <v>1.5</v>
      </c>
      <c r="N6" s="6">
        <v>5</v>
      </c>
      <c r="O6" s="26">
        <f>5000*N6</f>
        <v>25000</v>
      </c>
      <c r="P6" s="26">
        <v>80000</v>
      </c>
      <c r="Q6" s="81">
        <f t="shared" ref="Q6:Q14" si="4">L6-F6</f>
        <v>0.5</v>
      </c>
      <c r="R6" s="81">
        <f t="shared" ref="R6:R14" si="5">M6-G6</f>
        <v>0.5</v>
      </c>
      <c r="S6" s="79">
        <f t="shared" ref="S6:S14" si="6">N6-H6</f>
        <v>1.5</v>
      </c>
      <c r="T6" s="26">
        <f t="shared" ref="T6:T14" si="7">O6-I6</f>
        <v>7500</v>
      </c>
      <c r="U6" s="26">
        <f t="shared" ref="U6:U14" si="8">P6-J6</f>
        <v>30000</v>
      </c>
      <c r="V6" s="26">
        <f t="shared" ref="V6:V14" si="9">Q6/F6*100</f>
        <v>50</v>
      </c>
      <c r="W6" s="26">
        <f t="shared" ref="W6:W14" si="10">R6/G6*100</f>
        <v>50</v>
      </c>
      <c r="X6" s="26">
        <f t="shared" ref="X6:X14" si="11">S6/H6*100</f>
        <v>42.857142857142854</v>
      </c>
      <c r="Y6" s="26">
        <f t="shared" ref="Y6:Y14" si="12">T6/I6*100</f>
        <v>42.857142857142854</v>
      </c>
      <c r="Z6" s="26">
        <f t="shared" ref="Z6:Z14" si="13">U6/P6*100</f>
        <v>37.5</v>
      </c>
      <c r="AA6" s="6">
        <v>1</v>
      </c>
      <c r="AB6" s="6">
        <v>1</v>
      </c>
      <c r="AC6" s="6">
        <v>2</v>
      </c>
      <c r="AD6" s="12">
        <f t="shared" ref="AD6:AD14" si="14">AB6/AC6</f>
        <v>0.5</v>
      </c>
      <c r="AE6" s="28">
        <v>20000</v>
      </c>
      <c r="AF6" s="29">
        <f t="shared" ref="AF6:AF14" si="15">AD6*AE6</f>
        <v>10000</v>
      </c>
      <c r="AG6" s="6" t="s">
        <v>212</v>
      </c>
      <c r="AH6" s="6">
        <v>4</v>
      </c>
      <c r="AI6" s="6">
        <v>0</v>
      </c>
      <c r="AJ6" s="6">
        <v>0</v>
      </c>
      <c r="AK6" s="6">
        <v>0</v>
      </c>
      <c r="AL6" s="6">
        <v>0</v>
      </c>
      <c r="AM6" s="7">
        <v>0</v>
      </c>
      <c r="AN6" s="7">
        <v>0</v>
      </c>
      <c r="AO6" s="7">
        <v>0</v>
      </c>
      <c r="AP6" s="89">
        <v>0</v>
      </c>
      <c r="AQ6" s="6">
        <v>1</v>
      </c>
      <c r="AR6" s="6">
        <v>1</v>
      </c>
      <c r="AS6" s="6">
        <v>3</v>
      </c>
      <c r="AT6" s="12">
        <f t="shared" ref="AT6:AT14" si="16">AR6/AS6</f>
        <v>0.33333333333333331</v>
      </c>
      <c r="AU6" s="7" t="s">
        <v>208</v>
      </c>
      <c r="AV6" s="28">
        <v>170000</v>
      </c>
      <c r="AW6" s="30">
        <f t="shared" ref="AW6:AW14" si="17">AT6*AV6</f>
        <v>56666.666666666664</v>
      </c>
      <c r="AX6" s="30" t="s">
        <v>213</v>
      </c>
      <c r="AY6" s="6">
        <v>5</v>
      </c>
      <c r="AZ6" s="7">
        <v>86</v>
      </c>
      <c r="BA6" s="7">
        <v>80</v>
      </c>
      <c r="BB6" s="106">
        <f t="shared" ref="BB6:BB14" si="18">(BA6-AZ6)/AZ6*100</f>
        <v>-6.9767441860465116</v>
      </c>
      <c r="BC6" s="31">
        <f t="shared" si="0"/>
        <v>67500</v>
      </c>
      <c r="BD6" s="31">
        <f t="shared" si="1"/>
        <v>171666.66666666666</v>
      </c>
      <c r="BE6" s="90">
        <f t="shared" ref="BE6:BE16" si="19">(BD6-BC6)/BC6*100</f>
        <v>154.32098765432096</v>
      </c>
      <c r="BF6" s="6">
        <v>17</v>
      </c>
      <c r="BG6" s="28">
        <v>3000000</v>
      </c>
      <c r="BH6" s="28">
        <v>2300000</v>
      </c>
      <c r="BI6" s="94">
        <f t="shared" ref="BI6:BI14" si="20">(BH6-BG6)/BG6*100</f>
        <v>-23.333333333333332</v>
      </c>
      <c r="BJ6" s="31">
        <f t="shared" ref="BJ6:BJ14" si="21">BG6-BC6</f>
        <v>2932500</v>
      </c>
      <c r="BK6" s="31">
        <f t="shared" ref="BK6:BK14" si="22">BH6-BD6</f>
        <v>2128333.3333333335</v>
      </c>
      <c r="BL6" s="28">
        <f t="shared" ref="BL6:BL14" si="23">BK6-BJ6</f>
        <v>-804166.66666666651</v>
      </c>
      <c r="BM6" s="12">
        <f t="shared" ref="BM6:BM14" si="24">BL6/BJ6*100</f>
        <v>-27.422563228189823</v>
      </c>
    </row>
    <row r="7" spans="1:65">
      <c r="A7" s="6" t="s">
        <v>23</v>
      </c>
      <c r="B7" s="7" t="s">
        <v>74</v>
      </c>
      <c r="C7" s="6">
        <v>1</v>
      </c>
      <c r="D7" s="6">
        <v>2</v>
      </c>
      <c r="E7" s="12">
        <f t="shared" si="2"/>
        <v>0.5</v>
      </c>
      <c r="F7" s="6">
        <v>2</v>
      </c>
      <c r="G7" s="80">
        <v>2</v>
      </c>
      <c r="H7" s="6">
        <v>3</v>
      </c>
      <c r="I7" s="26">
        <f t="shared" si="3"/>
        <v>15000</v>
      </c>
      <c r="J7" s="26">
        <v>200000</v>
      </c>
      <c r="K7" s="27">
        <v>2</v>
      </c>
      <c r="L7" s="6">
        <v>2.5</v>
      </c>
      <c r="M7" s="80">
        <v>3</v>
      </c>
      <c r="N7" s="6">
        <v>4</v>
      </c>
      <c r="O7" s="26">
        <f>5000*N7</f>
        <v>20000</v>
      </c>
      <c r="P7" s="26">
        <v>270000</v>
      </c>
      <c r="Q7" s="81">
        <f t="shared" si="4"/>
        <v>0.5</v>
      </c>
      <c r="R7" s="81">
        <f t="shared" si="5"/>
        <v>1</v>
      </c>
      <c r="S7" s="79">
        <f t="shared" si="6"/>
        <v>1</v>
      </c>
      <c r="T7" s="26">
        <f t="shared" si="7"/>
        <v>5000</v>
      </c>
      <c r="U7" s="26">
        <f t="shared" si="8"/>
        <v>70000</v>
      </c>
      <c r="V7" s="26">
        <f t="shared" si="9"/>
        <v>25</v>
      </c>
      <c r="W7" s="26">
        <f t="shared" si="10"/>
        <v>50</v>
      </c>
      <c r="X7" s="26">
        <f t="shared" si="11"/>
        <v>33.333333333333329</v>
      </c>
      <c r="Y7" s="26">
        <f t="shared" si="12"/>
        <v>33.333333333333329</v>
      </c>
      <c r="Z7" s="26">
        <f t="shared" si="13"/>
        <v>25.925925925925924</v>
      </c>
      <c r="AA7" s="6">
        <v>1</v>
      </c>
      <c r="AB7" s="6">
        <v>1</v>
      </c>
      <c r="AC7" s="6">
        <v>3</v>
      </c>
      <c r="AD7" s="12">
        <f t="shared" si="14"/>
        <v>0.33333333333333331</v>
      </c>
      <c r="AE7" s="28">
        <v>30000</v>
      </c>
      <c r="AF7" s="29">
        <f t="shared" si="15"/>
        <v>10000</v>
      </c>
      <c r="AG7" s="6" t="s">
        <v>212</v>
      </c>
      <c r="AH7" s="6">
        <v>4</v>
      </c>
      <c r="AI7" s="6">
        <v>1</v>
      </c>
      <c r="AJ7" s="6">
        <v>1</v>
      </c>
      <c r="AK7" s="6">
        <v>6</v>
      </c>
      <c r="AL7" s="12">
        <f>AJ7/AK7</f>
        <v>0.16666666666666666</v>
      </c>
      <c r="AM7" s="28">
        <v>100000</v>
      </c>
      <c r="AN7" s="30">
        <f>AL7*AM7</f>
        <v>16666.666666666664</v>
      </c>
      <c r="AO7" s="30" t="s">
        <v>210</v>
      </c>
      <c r="AP7" s="89">
        <v>1</v>
      </c>
      <c r="AQ7" s="6">
        <v>1</v>
      </c>
      <c r="AR7" s="6">
        <v>1</v>
      </c>
      <c r="AS7" s="6">
        <v>2</v>
      </c>
      <c r="AT7" s="12">
        <f t="shared" si="16"/>
        <v>0.5</v>
      </c>
      <c r="AU7" s="7" t="s">
        <v>208</v>
      </c>
      <c r="AV7" s="28">
        <v>255000</v>
      </c>
      <c r="AW7" s="30">
        <f t="shared" si="17"/>
        <v>127500</v>
      </c>
      <c r="AX7" s="30" t="s">
        <v>213</v>
      </c>
      <c r="AY7" s="6">
        <v>2</v>
      </c>
      <c r="AZ7" s="7">
        <v>100</v>
      </c>
      <c r="BA7" s="7">
        <v>95</v>
      </c>
      <c r="BB7" s="106">
        <f t="shared" si="18"/>
        <v>-5</v>
      </c>
      <c r="BC7" s="31">
        <f t="shared" si="0"/>
        <v>215000</v>
      </c>
      <c r="BD7" s="31">
        <f t="shared" si="1"/>
        <v>444166.66666666669</v>
      </c>
      <c r="BE7" s="90">
        <f t="shared" si="19"/>
        <v>106.58914728682171</v>
      </c>
      <c r="BF7" s="6">
        <v>15</v>
      </c>
      <c r="BG7" s="28">
        <v>2500000</v>
      </c>
      <c r="BH7" s="28">
        <v>1500000</v>
      </c>
      <c r="BI7" s="94">
        <f t="shared" si="20"/>
        <v>-40</v>
      </c>
      <c r="BJ7" s="31">
        <f t="shared" si="21"/>
        <v>2285000</v>
      </c>
      <c r="BK7" s="31">
        <f t="shared" si="22"/>
        <v>1055833.3333333333</v>
      </c>
      <c r="BL7" s="28">
        <f t="shared" si="23"/>
        <v>-1229166.6666666667</v>
      </c>
      <c r="BM7" s="12">
        <f t="shared" si="24"/>
        <v>-53.792851932895701</v>
      </c>
    </row>
    <row r="8" spans="1:65">
      <c r="A8" s="6" t="s">
        <v>24</v>
      </c>
      <c r="B8" s="7" t="s">
        <v>76</v>
      </c>
      <c r="C8" s="6">
        <v>1</v>
      </c>
      <c r="D8" s="6">
        <v>3</v>
      </c>
      <c r="E8" s="12">
        <f t="shared" si="2"/>
        <v>0.33333333333333331</v>
      </c>
      <c r="F8" s="6">
        <v>3</v>
      </c>
      <c r="G8" s="80">
        <v>2</v>
      </c>
      <c r="H8" s="6">
        <v>3.5</v>
      </c>
      <c r="I8" s="26">
        <f t="shared" si="3"/>
        <v>17500</v>
      </c>
      <c r="J8" s="26">
        <v>100000</v>
      </c>
      <c r="K8" s="27">
        <v>2</v>
      </c>
      <c r="L8" s="6">
        <v>3</v>
      </c>
      <c r="M8" s="80">
        <v>2</v>
      </c>
      <c r="N8" s="6">
        <v>6</v>
      </c>
      <c r="O8" s="26">
        <f>5000*N8</f>
        <v>30000</v>
      </c>
      <c r="P8" s="26">
        <v>350000</v>
      </c>
      <c r="Q8" s="81">
        <f t="shared" si="4"/>
        <v>0</v>
      </c>
      <c r="R8" s="81">
        <f t="shared" si="5"/>
        <v>0</v>
      </c>
      <c r="S8" s="79">
        <f t="shared" si="6"/>
        <v>2.5</v>
      </c>
      <c r="T8" s="26">
        <f t="shared" si="7"/>
        <v>12500</v>
      </c>
      <c r="U8" s="26">
        <f t="shared" si="8"/>
        <v>250000</v>
      </c>
      <c r="V8" s="26">
        <f t="shared" si="9"/>
        <v>0</v>
      </c>
      <c r="W8" s="26">
        <f t="shared" si="10"/>
        <v>0</v>
      </c>
      <c r="X8" s="26">
        <f t="shared" si="11"/>
        <v>71.428571428571431</v>
      </c>
      <c r="Y8" s="26">
        <f t="shared" si="12"/>
        <v>71.428571428571431</v>
      </c>
      <c r="Z8" s="26">
        <f t="shared" si="13"/>
        <v>71.428571428571431</v>
      </c>
      <c r="AA8" s="6">
        <v>1</v>
      </c>
      <c r="AB8" s="6">
        <v>1</v>
      </c>
      <c r="AC8" s="6">
        <v>3</v>
      </c>
      <c r="AD8" s="12">
        <f t="shared" si="14"/>
        <v>0.33333333333333331</v>
      </c>
      <c r="AE8" s="28">
        <v>25000</v>
      </c>
      <c r="AF8" s="29">
        <f t="shared" si="15"/>
        <v>8333.3333333333321</v>
      </c>
      <c r="AG8" s="6" t="s">
        <v>212</v>
      </c>
      <c r="AH8" s="6">
        <v>5</v>
      </c>
      <c r="AI8" s="6">
        <v>0</v>
      </c>
      <c r="AJ8" s="6">
        <v>0</v>
      </c>
      <c r="AK8" s="6">
        <v>0</v>
      </c>
      <c r="AL8" s="6">
        <v>0</v>
      </c>
      <c r="AM8" s="7">
        <v>0</v>
      </c>
      <c r="AN8" s="7">
        <v>0</v>
      </c>
      <c r="AO8" s="7">
        <v>0</v>
      </c>
      <c r="AP8" s="89">
        <v>0</v>
      </c>
      <c r="AQ8" s="6">
        <v>1</v>
      </c>
      <c r="AR8" s="6">
        <v>1</v>
      </c>
      <c r="AS8" s="6">
        <v>2</v>
      </c>
      <c r="AT8" s="12">
        <f t="shared" si="16"/>
        <v>0.5</v>
      </c>
      <c r="AU8" s="7" t="s">
        <v>208</v>
      </c>
      <c r="AV8" s="28">
        <v>260000</v>
      </c>
      <c r="AW8" s="30">
        <f t="shared" si="17"/>
        <v>130000</v>
      </c>
      <c r="AX8" s="30" t="s">
        <v>213</v>
      </c>
      <c r="AY8" s="6">
        <v>1</v>
      </c>
      <c r="AZ8" s="7">
        <v>110</v>
      </c>
      <c r="BA8" s="7">
        <v>100</v>
      </c>
      <c r="BB8" s="106">
        <f t="shared" si="18"/>
        <v>-9.0909090909090917</v>
      </c>
      <c r="BC8" s="31">
        <f t="shared" si="0"/>
        <v>117500</v>
      </c>
      <c r="BD8" s="31">
        <f t="shared" si="1"/>
        <v>518333.33333333331</v>
      </c>
      <c r="BE8" s="90">
        <f t="shared" si="19"/>
        <v>341.13475177304963</v>
      </c>
      <c r="BF8" s="6">
        <v>16</v>
      </c>
      <c r="BG8" s="28">
        <v>1800000</v>
      </c>
      <c r="BH8" s="28">
        <v>1600000</v>
      </c>
      <c r="BI8" s="94">
        <f t="shared" si="20"/>
        <v>-11.111111111111111</v>
      </c>
      <c r="BJ8" s="31">
        <f t="shared" si="21"/>
        <v>1682500</v>
      </c>
      <c r="BK8" s="31">
        <f t="shared" si="22"/>
        <v>1081666.6666666667</v>
      </c>
      <c r="BL8" s="28">
        <f t="shared" si="23"/>
        <v>-600833.33333333326</v>
      </c>
      <c r="BM8" s="12">
        <f t="shared" si="24"/>
        <v>-35.710747894997517</v>
      </c>
    </row>
    <row r="9" spans="1:65">
      <c r="A9" s="6" t="s">
        <v>25</v>
      </c>
      <c r="B9" s="7" t="s">
        <v>78</v>
      </c>
      <c r="C9" s="6">
        <v>1</v>
      </c>
      <c r="D9" s="6">
        <v>4</v>
      </c>
      <c r="E9" s="12">
        <f t="shared" si="2"/>
        <v>0.25</v>
      </c>
      <c r="F9" s="6">
        <v>1.5</v>
      </c>
      <c r="G9" s="80">
        <v>2</v>
      </c>
      <c r="H9" s="6">
        <v>5</v>
      </c>
      <c r="I9" s="26">
        <f t="shared" si="3"/>
        <v>25000</v>
      </c>
      <c r="J9" s="26">
        <v>300000</v>
      </c>
      <c r="K9" s="27">
        <v>1</v>
      </c>
      <c r="L9" s="6">
        <v>2</v>
      </c>
      <c r="M9" s="80">
        <v>2.5</v>
      </c>
      <c r="N9" s="6">
        <v>7</v>
      </c>
      <c r="O9" s="26">
        <f t="shared" ref="O9:O14" si="25">5000*N9</f>
        <v>35000</v>
      </c>
      <c r="P9" s="26">
        <v>600000</v>
      </c>
      <c r="Q9" s="81">
        <f t="shared" si="4"/>
        <v>0.5</v>
      </c>
      <c r="R9" s="81">
        <f t="shared" si="5"/>
        <v>0.5</v>
      </c>
      <c r="S9" s="79">
        <f t="shared" si="6"/>
        <v>2</v>
      </c>
      <c r="T9" s="26">
        <f t="shared" si="7"/>
        <v>10000</v>
      </c>
      <c r="U9" s="26">
        <f t="shared" si="8"/>
        <v>300000</v>
      </c>
      <c r="V9" s="26">
        <f t="shared" si="9"/>
        <v>33.333333333333329</v>
      </c>
      <c r="W9" s="26">
        <f t="shared" si="10"/>
        <v>25</v>
      </c>
      <c r="X9" s="26">
        <f t="shared" si="11"/>
        <v>40</v>
      </c>
      <c r="Y9" s="26">
        <f t="shared" si="12"/>
        <v>40</v>
      </c>
      <c r="Z9" s="26">
        <f t="shared" si="13"/>
        <v>50</v>
      </c>
      <c r="AA9" s="6">
        <v>1</v>
      </c>
      <c r="AB9" s="6">
        <v>1</v>
      </c>
      <c r="AC9" s="6">
        <v>2</v>
      </c>
      <c r="AD9" s="12">
        <f t="shared" si="14"/>
        <v>0.5</v>
      </c>
      <c r="AE9" s="28">
        <v>40000</v>
      </c>
      <c r="AF9" s="29">
        <f t="shared" si="15"/>
        <v>20000</v>
      </c>
      <c r="AG9" s="6" t="s">
        <v>212</v>
      </c>
      <c r="AH9" s="6">
        <v>4</v>
      </c>
      <c r="AI9" s="6">
        <v>1</v>
      </c>
      <c r="AJ9" s="6">
        <v>1</v>
      </c>
      <c r="AK9" s="6">
        <v>7</v>
      </c>
      <c r="AL9" s="12">
        <f>AJ9/AK9</f>
        <v>0.14285714285714285</v>
      </c>
      <c r="AM9" s="28">
        <v>110000</v>
      </c>
      <c r="AN9" s="30">
        <f>AL9*AM9</f>
        <v>15714.285714285714</v>
      </c>
      <c r="AO9" s="30" t="s">
        <v>210</v>
      </c>
      <c r="AP9" s="89">
        <v>1</v>
      </c>
      <c r="AQ9" s="6">
        <v>1</v>
      </c>
      <c r="AR9" s="6">
        <v>1</v>
      </c>
      <c r="AS9" s="6">
        <v>2</v>
      </c>
      <c r="AT9" s="12">
        <f t="shared" si="16"/>
        <v>0.5</v>
      </c>
      <c r="AU9" s="7" t="s">
        <v>208</v>
      </c>
      <c r="AV9" s="28">
        <v>185000</v>
      </c>
      <c r="AW9" s="30">
        <f t="shared" si="17"/>
        <v>92500</v>
      </c>
      <c r="AX9" s="30" t="s">
        <v>213</v>
      </c>
      <c r="AY9" s="6">
        <v>4</v>
      </c>
      <c r="AZ9" s="7">
        <v>95</v>
      </c>
      <c r="BA9" s="7">
        <v>90</v>
      </c>
      <c r="BB9" s="106">
        <f t="shared" si="18"/>
        <v>-5.2631578947368416</v>
      </c>
      <c r="BC9" s="31">
        <f t="shared" si="0"/>
        <v>325000</v>
      </c>
      <c r="BD9" s="31">
        <f t="shared" si="1"/>
        <v>763214.28571428568</v>
      </c>
      <c r="BE9" s="90">
        <f t="shared" si="19"/>
        <v>134.83516483516482</v>
      </c>
      <c r="BF9" s="6">
        <v>15</v>
      </c>
      <c r="BG9" s="28">
        <v>1500000</v>
      </c>
      <c r="BH9" s="28">
        <v>1300000</v>
      </c>
      <c r="BI9" s="94">
        <f t="shared" si="20"/>
        <v>-13.333333333333334</v>
      </c>
      <c r="BJ9" s="31">
        <f t="shared" si="21"/>
        <v>1175000</v>
      </c>
      <c r="BK9" s="31">
        <f t="shared" si="22"/>
        <v>536785.71428571432</v>
      </c>
      <c r="BL9" s="28">
        <f t="shared" si="23"/>
        <v>-638214.28571428568</v>
      </c>
      <c r="BM9" s="12">
        <f t="shared" si="24"/>
        <v>-54.316109422492396</v>
      </c>
    </row>
    <row r="10" spans="1:65">
      <c r="A10" s="6" t="s">
        <v>26</v>
      </c>
      <c r="B10" s="7" t="s">
        <v>80</v>
      </c>
      <c r="C10" s="6">
        <v>1</v>
      </c>
      <c r="D10" s="6">
        <v>2</v>
      </c>
      <c r="E10" s="12">
        <f t="shared" si="2"/>
        <v>0.5</v>
      </c>
      <c r="F10" s="6">
        <v>2</v>
      </c>
      <c r="G10" s="80">
        <v>3</v>
      </c>
      <c r="H10" s="6">
        <v>4</v>
      </c>
      <c r="I10" s="26">
        <f t="shared" si="3"/>
        <v>20000</v>
      </c>
      <c r="J10" s="26">
        <v>225000</v>
      </c>
      <c r="K10" s="27">
        <v>2</v>
      </c>
      <c r="L10" s="6">
        <v>2.5</v>
      </c>
      <c r="M10" s="80">
        <v>3.5</v>
      </c>
      <c r="N10" s="6">
        <v>5</v>
      </c>
      <c r="O10" s="26">
        <f t="shared" si="25"/>
        <v>25000</v>
      </c>
      <c r="P10" s="26">
        <v>300000</v>
      </c>
      <c r="Q10" s="81">
        <f t="shared" si="4"/>
        <v>0.5</v>
      </c>
      <c r="R10" s="81">
        <f t="shared" si="5"/>
        <v>0.5</v>
      </c>
      <c r="S10" s="79">
        <f t="shared" si="6"/>
        <v>1</v>
      </c>
      <c r="T10" s="26">
        <f t="shared" si="7"/>
        <v>5000</v>
      </c>
      <c r="U10" s="26">
        <f t="shared" si="8"/>
        <v>75000</v>
      </c>
      <c r="V10" s="26">
        <f t="shared" si="9"/>
        <v>25</v>
      </c>
      <c r="W10" s="26">
        <f t="shared" si="10"/>
        <v>16.666666666666664</v>
      </c>
      <c r="X10" s="26">
        <f t="shared" si="11"/>
        <v>25</v>
      </c>
      <c r="Y10" s="26">
        <f t="shared" si="12"/>
        <v>25</v>
      </c>
      <c r="Z10" s="26">
        <f t="shared" si="13"/>
        <v>25</v>
      </c>
      <c r="AA10" s="6">
        <v>1</v>
      </c>
      <c r="AB10" s="6">
        <v>1</v>
      </c>
      <c r="AC10" s="6">
        <v>2</v>
      </c>
      <c r="AD10" s="12">
        <f t="shared" si="14"/>
        <v>0.5</v>
      </c>
      <c r="AE10" s="28">
        <v>20000</v>
      </c>
      <c r="AF10" s="29">
        <f t="shared" si="15"/>
        <v>10000</v>
      </c>
      <c r="AG10" s="6" t="s">
        <v>212</v>
      </c>
      <c r="AH10" s="6">
        <v>1</v>
      </c>
      <c r="AI10" s="6">
        <v>0</v>
      </c>
      <c r="AJ10" s="6">
        <v>0</v>
      </c>
      <c r="AK10" s="6">
        <v>0</v>
      </c>
      <c r="AL10" s="6">
        <v>0</v>
      </c>
      <c r="AM10" s="7">
        <v>0</v>
      </c>
      <c r="AN10" s="7">
        <v>0</v>
      </c>
      <c r="AO10" s="7">
        <v>0</v>
      </c>
      <c r="AP10" s="89">
        <v>0</v>
      </c>
      <c r="AQ10" s="6">
        <v>1</v>
      </c>
      <c r="AR10" s="6">
        <v>1</v>
      </c>
      <c r="AS10" s="6">
        <v>2</v>
      </c>
      <c r="AT10" s="12">
        <f t="shared" si="16"/>
        <v>0.5</v>
      </c>
      <c r="AU10" s="7" t="s">
        <v>208</v>
      </c>
      <c r="AV10" s="28">
        <v>350000</v>
      </c>
      <c r="AW10" s="30">
        <f t="shared" si="17"/>
        <v>175000</v>
      </c>
      <c r="AX10" s="30" t="s">
        <v>213</v>
      </c>
      <c r="AY10" s="6">
        <v>5</v>
      </c>
      <c r="AZ10" s="7">
        <v>120</v>
      </c>
      <c r="BA10" s="7">
        <v>110</v>
      </c>
      <c r="BB10" s="106">
        <f t="shared" si="18"/>
        <v>-8.3333333333333321</v>
      </c>
      <c r="BC10" s="31">
        <f t="shared" si="0"/>
        <v>245000</v>
      </c>
      <c r="BD10" s="31">
        <f t="shared" si="1"/>
        <v>510000</v>
      </c>
      <c r="BE10" s="90">
        <f t="shared" si="19"/>
        <v>108.16326530612245</v>
      </c>
      <c r="BF10" s="6">
        <v>13</v>
      </c>
      <c r="BG10" s="28">
        <v>3200000</v>
      </c>
      <c r="BH10" s="28">
        <v>2700000</v>
      </c>
      <c r="BI10" s="94">
        <f t="shared" si="20"/>
        <v>-15.625</v>
      </c>
      <c r="BJ10" s="31">
        <f t="shared" si="21"/>
        <v>2955000</v>
      </c>
      <c r="BK10" s="31">
        <f t="shared" si="22"/>
        <v>2190000</v>
      </c>
      <c r="BL10" s="28">
        <f t="shared" si="23"/>
        <v>-765000</v>
      </c>
      <c r="BM10" s="12">
        <f t="shared" si="24"/>
        <v>-25.888324873096447</v>
      </c>
    </row>
    <row r="11" spans="1:65">
      <c r="A11" s="6" t="s">
        <v>27</v>
      </c>
      <c r="B11" s="7" t="s">
        <v>81</v>
      </c>
      <c r="C11" s="6">
        <v>1</v>
      </c>
      <c r="D11" s="6">
        <v>2</v>
      </c>
      <c r="E11" s="12">
        <f t="shared" si="2"/>
        <v>0.5</v>
      </c>
      <c r="F11" s="6">
        <v>3</v>
      </c>
      <c r="G11" s="80">
        <v>3</v>
      </c>
      <c r="H11" s="6">
        <v>4</v>
      </c>
      <c r="I11" s="26">
        <f t="shared" si="3"/>
        <v>20000</v>
      </c>
      <c r="J11" s="26">
        <v>175000</v>
      </c>
      <c r="K11" s="27">
        <v>2</v>
      </c>
      <c r="L11" s="6">
        <v>3.5</v>
      </c>
      <c r="M11" s="80">
        <v>3.5</v>
      </c>
      <c r="N11" s="6">
        <v>5.5</v>
      </c>
      <c r="O11" s="26">
        <f t="shared" si="25"/>
        <v>27500</v>
      </c>
      <c r="P11" s="26">
        <v>250000</v>
      </c>
      <c r="Q11" s="81">
        <f t="shared" si="4"/>
        <v>0.5</v>
      </c>
      <c r="R11" s="81">
        <f t="shared" si="5"/>
        <v>0.5</v>
      </c>
      <c r="S11" s="79">
        <f t="shared" si="6"/>
        <v>1.5</v>
      </c>
      <c r="T11" s="26">
        <f t="shared" si="7"/>
        <v>7500</v>
      </c>
      <c r="U11" s="26">
        <f t="shared" si="8"/>
        <v>75000</v>
      </c>
      <c r="V11" s="26">
        <f t="shared" si="9"/>
        <v>16.666666666666664</v>
      </c>
      <c r="W11" s="26">
        <f t="shared" si="10"/>
        <v>16.666666666666664</v>
      </c>
      <c r="X11" s="26">
        <f t="shared" si="11"/>
        <v>37.5</v>
      </c>
      <c r="Y11" s="26">
        <f t="shared" si="12"/>
        <v>37.5</v>
      </c>
      <c r="Z11" s="26">
        <f t="shared" si="13"/>
        <v>30</v>
      </c>
      <c r="AA11" s="6">
        <v>1</v>
      </c>
      <c r="AB11" s="6">
        <v>1</v>
      </c>
      <c r="AC11" s="6">
        <v>2</v>
      </c>
      <c r="AD11" s="12">
        <f t="shared" si="14"/>
        <v>0.5</v>
      </c>
      <c r="AE11" s="28">
        <v>50000</v>
      </c>
      <c r="AF11" s="29">
        <f t="shared" si="15"/>
        <v>25000</v>
      </c>
      <c r="AG11" s="6" t="s">
        <v>212</v>
      </c>
      <c r="AH11" s="6">
        <v>5</v>
      </c>
      <c r="AI11" s="6">
        <v>0</v>
      </c>
      <c r="AJ11" s="6">
        <v>0</v>
      </c>
      <c r="AK11" s="6">
        <v>0</v>
      </c>
      <c r="AL11" s="6">
        <v>0</v>
      </c>
      <c r="AM11" s="7">
        <v>0</v>
      </c>
      <c r="AN11" s="7">
        <v>0</v>
      </c>
      <c r="AO11" s="7">
        <v>0</v>
      </c>
      <c r="AP11" s="89">
        <v>0</v>
      </c>
      <c r="AQ11" s="6">
        <v>1</v>
      </c>
      <c r="AR11" s="6">
        <v>1</v>
      </c>
      <c r="AS11" s="6">
        <v>2</v>
      </c>
      <c r="AT11" s="12">
        <f t="shared" si="16"/>
        <v>0.5</v>
      </c>
      <c r="AU11" s="7" t="s">
        <v>208</v>
      </c>
      <c r="AV11" s="28">
        <v>120000</v>
      </c>
      <c r="AW11" s="30">
        <f t="shared" si="17"/>
        <v>60000</v>
      </c>
      <c r="AX11" s="30" t="s">
        <v>213</v>
      </c>
      <c r="AY11" s="6">
        <v>4</v>
      </c>
      <c r="AZ11" s="7">
        <v>100</v>
      </c>
      <c r="BA11" s="7">
        <v>90</v>
      </c>
      <c r="BB11" s="106">
        <f t="shared" si="18"/>
        <v>-10</v>
      </c>
      <c r="BC11" s="31">
        <f t="shared" si="0"/>
        <v>195000</v>
      </c>
      <c r="BD11" s="31">
        <f t="shared" si="1"/>
        <v>362500</v>
      </c>
      <c r="BE11" s="90">
        <f t="shared" si="19"/>
        <v>85.897435897435898</v>
      </c>
      <c r="BF11" s="6">
        <v>14</v>
      </c>
      <c r="BG11" s="28">
        <v>2300000</v>
      </c>
      <c r="BH11" s="28">
        <v>2000000</v>
      </c>
      <c r="BI11" s="94">
        <f t="shared" si="20"/>
        <v>-13.043478260869565</v>
      </c>
      <c r="BJ11" s="31">
        <f t="shared" si="21"/>
        <v>2105000</v>
      </c>
      <c r="BK11" s="31">
        <f t="shared" si="22"/>
        <v>1637500</v>
      </c>
      <c r="BL11" s="28">
        <f t="shared" si="23"/>
        <v>-467500</v>
      </c>
      <c r="BM11" s="12">
        <f t="shared" si="24"/>
        <v>-22.209026128266032</v>
      </c>
    </row>
    <row r="12" spans="1:65">
      <c r="A12" s="6" t="s">
        <v>28</v>
      </c>
      <c r="B12" s="7" t="s">
        <v>82</v>
      </c>
      <c r="C12" s="6">
        <v>1</v>
      </c>
      <c r="D12" s="6">
        <v>3</v>
      </c>
      <c r="E12" s="12">
        <f t="shared" si="2"/>
        <v>0.33333333333333331</v>
      </c>
      <c r="F12" s="6">
        <v>2</v>
      </c>
      <c r="G12" s="80">
        <v>2</v>
      </c>
      <c r="H12" s="6">
        <v>4.5</v>
      </c>
      <c r="I12" s="26">
        <f t="shared" si="3"/>
        <v>22500</v>
      </c>
      <c r="J12" s="26">
        <v>100000</v>
      </c>
      <c r="K12" s="27">
        <v>2</v>
      </c>
      <c r="L12" s="6">
        <v>2.5</v>
      </c>
      <c r="M12" s="80">
        <v>2.5</v>
      </c>
      <c r="N12" s="6">
        <v>6</v>
      </c>
      <c r="O12" s="26">
        <f t="shared" si="25"/>
        <v>30000</v>
      </c>
      <c r="P12" s="26">
        <v>175000</v>
      </c>
      <c r="Q12" s="81">
        <f t="shared" si="4"/>
        <v>0.5</v>
      </c>
      <c r="R12" s="81">
        <f t="shared" si="5"/>
        <v>0.5</v>
      </c>
      <c r="S12" s="79">
        <f t="shared" si="6"/>
        <v>1.5</v>
      </c>
      <c r="T12" s="26">
        <f t="shared" si="7"/>
        <v>7500</v>
      </c>
      <c r="U12" s="26">
        <f t="shared" si="8"/>
        <v>75000</v>
      </c>
      <c r="V12" s="26">
        <f t="shared" si="9"/>
        <v>25</v>
      </c>
      <c r="W12" s="26">
        <f t="shared" si="10"/>
        <v>25</v>
      </c>
      <c r="X12" s="26">
        <f t="shared" si="11"/>
        <v>33.333333333333329</v>
      </c>
      <c r="Y12" s="26">
        <f t="shared" si="12"/>
        <v>33.333333333333329</v>
      </c>
      <c r="Z12" s="26">
        <f t="shared" si="13"/>
        <v>42.857142857142854</v>
      </c>
      <c r="AA12" s="6">
        <v>1</v>
      </c>
      <c r="AB12" s="6">
        <v>1</v>
      </c>
      <c r="AC12" s="6">
        <v>2</v>
      </c>
      <c r="AD12" s="12">
        <f t="shared" si="14"/>
        <v>0.5</v>
      </c>
      <c r="AE12" s="28">
        <v>30000</v>
      </c>
      <c r="AF12" s="29">
        <f t="shared" si="15"/>
        <v>15000</v>
      </c>
      <c r="AG12" s="6" t="s">
        <v>212</v>
      </c>
      <c r="AH12" s="6">
        <v>5</v>
      </c>
      <c r="AI12" s="6">
        <v>1</v>
      </c>
      <c r="AJ12" s="6">
        <v>1</v>
      </c>
      <c r="AK12" s="6">
        <v>5</v>
      </c>
      <c r="AL12" s="6">
        <f>AJ12/AK12</f>
        <v>0.2</v>
      </c>
      <c r="AM12" s="28">
        <v>95000</v>
      </c>
      <c r="AN12" s="31">
        <f>AL12*AM12</f>
        <v>19000</v>
      </c>
      <c r="AO12" s="31" t="s">
        <v>210</v>
      </c>
      <c r="AP12" s="89">
        <v>1</v>
      </c>
      <c r="AQ12" s="6">
        <v>1</v>
      </c>
      <c r="AR12" s="6">
        <v>1</v>
      </c>
      <c r="AS12" s="6">
        <v>3</v>
      </c>
      <c r="AT12" s="12">
        <f t="shared" si="16"/>
        <v>0.33333333333333331</v>
      </c>
      <c r="AU12" s="7" t="s">
        <v>208</v>
      </c>
      <c r="AV12" s="28">
        <v>200000</v>
      </c>
      <c r="AW12" s="30">
        <f t="shared" si="17"/>
        <v>66666.666666666657</v>
      </c>
      <c r="AX12" s="30" t="s">
        <v>213</v>
      </c>
      <c r="AY12" s="6">
        <v>1</v>
      </c>
      <c r="AZ12" s="7">
        <v>90</v>
      </c>
      <c r="BA12" s="7">
        <v>85</v>
      </c>
      <c r="BB12" s="106">
        <f t="shared" si="18"/>
        <v>-5.5555555555555554</v>
      </c>
      <c r="BC12" s="31">
        <f t="shared" si="0"/>
        <v>122500</v>
      </c>
      <c r="BD12" s="31">
        <f t="shared" si="1"/>
        <v>305666.66666666663</v>
      </c>
      <c r="BE12" s="90">
        <f t="shared" si="19"/>
        <v>149.52380952380949</v>
      </c>
      <c r="BF12" s="6">
        <v>9</v>
      </c>
      <c r="BG12" s="28">
        <v>1500000</v>
      </c>
      <c r="BH12" s="28">
        <v>1020000</v>
      </c>
      <c r="BI12" s="94">
        <f t="shared" si="20"/>
        <v>-32</v>
      </c>
      <c r="BJ12" s="31">
        <f t="shared" si="21"/>
        <v>1377500</v>
      </c>
      <c r="BK12" s="31">
        <f t="shared" si="22"/>
        <v>714333.33333333337</v>
      </c>
      <c r="BL12" s="28">
        <f t="shared" si="23"/>
        <v>-663166.66666666663</v>
      </c>
      <c r="BM12" s="12">
        <f t="shared" si="24"/>
        <v>-48.142770719903204</v>
      </c>
    </row>
    <row r="13" spans="1:65">
      <c r="A13" s="6" t="s">
        <v>29</v>
      </c>
      <c r="B13" s="7" t="s">
        <v>84</v>
      </c>
      <c r="C13" s="6">
        <v>1</v>
      </c>
      <c r="D13" s="6">
        <v>2</v>
      </c>
      <c r="E13" s="12">
        <f t="shared" si="2"/>
        <v>0.5</v>
      </c>
      <c r="F13" s="6">
        <v>3</v>
      </c>
      <c r="G13" s="80">
        <v>2</v>
      </c>
      <c r="H13" s="6">
        <v>4</v>
      </c>
      <c r="I13" s="26">
        <f t="shared" si="3"/>
        <v>20000</v>
      </c>
      <c r="J13" s="26">
        <v>150000</v>
      </c>
      <c r="K13" s="27">
        <v>2</v>
      </c>
      <c r="L13" s="6">
        <v>4</v>
      </c>
      <c r="M13" s="80">
        <v>3</v>
      </c>
      <c r="N13" s="6">
        <v>6.5</v>
      </c>
      <c r="O13" s="26">
        <f t="shared" si="25"/>
        <v>32500</v>
      </c>
      <c r="P13" s="26">
        <v>200000</v>
      </c>
      <c r="Q13" s="81">
        <f t="shared" si="4"/>
        <v>1</v>
      </c>
      <c r="R13" s="81">
        <f t="shared" si="5"/>
        <v>1</v>
      </c>
      <c r="S13" s="79">
        <f t="shared" si="6"/>
        <v>2.5</v>
      </c>
      <c r="T13" s="26">
        <f t="shared" si="7"/>
        <v>12500</v>
      </c>
      <c r="U13" s="26">
        <f t="shared" si="8"/>
        <v>50000</v>
      </c>
      <c r="V13" s="26">
        <f t="shared" si="9"/>
        <v>33.333333333333329</v>
      </c>
      <c r="W13" s="26">
        <f t="shared" si="10"/>
        <v>50</v>
      </c>
      <c r="X13" s="26">
        <f t="shared" si="11"/>
        <v>62.5</v>
      </c>
      <c r="Y13" s="26">
        <f t="shared" si="12"/>
        <v>62.5</v>
      </c>
      <c r="Z13" s="26">
        <f t="shared" si="13"/>
        <v>25</v>
      </c>
      <c r="AA13" s="6">
        <v>1</v>
      </c>
      <c r="AB13" s="6">
        <v>1</v>
      </c>
      <c r="AC13" s="6">
        <v>3</v>
      </c>
      <c r="AD13" s="12">
        <f t="shared" si="14"/>
        <v>0.33333333333333331</v>
      </c>
      <c r="AE13" s="28">
        <v>245000</v>
      </c>
      <c r="AF13" s="29">
        <f t="shared" si="15"/>
        <v>81666.666666666657</v>
      </c>
      <c r="AG13" s="6" t="s">
        <v>212</v>
      </c>
      <c r="AH13" s="6">
        <v>4</v>
      </c>
      <c r="AI13" s="6">
        <v>1</v>
      </c>
      <c r="AJ13" s="6">
        <v>1</v>
      </c>
      <c r="AK13" s="6">
        <v>6</v>
      </c>
      <c r="AL13" s="12">
        <f>AJ13/AK13</f>
        <v>0.16666666666666666</v>
      </c>
      <c r="AM13" s="28">
        <v>100000</v>
      </c>
      <c r="AN13" s="30">
        <f>AL13*AM13</f>
        <v>16666.666666666664</v>
      </c>
      <c r="AO13" s="30" t="s">
        <v>210</v>
      </c>
      <c r="AP13" s="89">
        <v>1</v>
      </c>
      <c r="AQ13" s="6">
        <v>1</v>
      </c>
      <c r="AR13" s="6">
        <v>1</v>
      </c>
      <c r="AS13" s="6">
        <v>4</v>
      </c>
      <c r="AT13" s="12">
        <f t="shared" si="16"/>
        <v>0.25</v>
      </c>
      <c r="AU13" s="7" t="s">
        <v>208</v>
      </c>
      <c r="AV13" s="28">
        <v>150000</v>
      </c>
      <c r="AW13" s="30">
        <f t="shared" si="17"/>
        <v>37500</v>
      </c>
      <c r="AX13" s="30" t="s">
        <v>213</v>
      </c>
      <c r="AY13" s="6">
        <v>5</v>
      </c>
      <c r="AZ13" s="7">
        <v>120</v>
      </c>
      <c r="BA13" s="7">
        <v>100</v>
      </c>
      <c r="BB13" s="106">
        <f t="shared" si="18"/>
        <v>-16.666666666666664</v>
      </c>
      <c r="BC13" s="31">
        <f t="shared" si="0"/>
        <v>170000</v>
      </c>
      <c r="BD13" s="31">
        <f t="shared" si="1"/>
        <v>368333.33333333331</v>
      </c>
      <c r="BE13" s="90">
        <f t="shared" si="19"/>
        <v>116.66666666666666</v>
      </c>
      <c r="BF13" s="6">
        <v>12</v>
      </c>
      <c r="BG13" s="28">
        <v>1000000</v>
      </c>
      <c r="BH13" s="28">
        <v>990000</v>
      </c>
      <c r="BI13" s="94">
        <f t="shared" si="20"/>
        <v>-1</v>
      </c>
      <c r="BJ13" s="31">
        <f t="shared" si="21"/>
        <v>830000</v>
      </c>
      <c r="BK13" s="31">
        <f t="shared" si="22"/>
        <v>621666.66666666674</v>
      </c>
      <c r="BL13" s="28">
        <f t="shared" si="23"/>
        <v>-208333.33333333326</v>
      </c>
      <c r="BM13" s="12">
        <f t="shared" si="24"/>
        <v>-25.100401606425692</v>
      </c>
    </row>
    <row r="14" spans="1:65">
      <c r="A14" s="6" t="s">
        <v>30</v>
      </c>
      <c r="B14" s="7" t="s">
        <v>86</v>
      </c>
      <c r="C14" s="6">
        <v>1</v>
      </c>
      <c r="D14" s="6">
        <v>3</v>
      </c>
      <c r="E14" s="12">
        <f t="shared" si="2"/>
        <v>0.33333333333333331</v>
      </c>
      <c r="F14" s="6">
        <v>2</v>
      </c>
      <c r="G14" s="80">
        <v>3</v>
      </c>
      <c r="H14" s="6">
        <v>2.5</v>
      </c>
      <c r="I14" s="26">
        <f t="shared" si="3"/>
        <v>12500</v>
      </c>
      <c r="J14" s="26">
        <v>150000</v>
      </c>
      <c r="K14" s="27">
        <v>2</v>
      </c>
      <c r="L14" s="6">
        <v>2.5</v>
      </c>
      <c r="M14" s="80">
        <v>3.5</v>
      </c>
      <c r="N14" s="6">
        <v>4</v>
      </c>
      <c r="O14" s="26">
        <f t="shared" si="25"/>
        <v>20000</v>
      </c>
      <c r="P14" s="26">
        <v>220000</v>
      </c>
      <c r="Q14" s="81">
        <f t="shared" si="4"/>
        <v>0.5</v>
      </c>
      <c r="R14" s="81">
        <f t="shared" si="5"/>
        <v>0.5</v>
      </c>
      <c r="S14" s="79">
        <f t="shared" si="6"/>
        <v>1.5</v>
      </c>
      <c r="T14" s="26">
        <f t="shared" si="7"/>
        <v>7500</v>
      </c>
      <c r="U14" s="26">
        <f t="shared" si="8"/>
        <v>70000</v>
      </c>
      <c r="V14" s="26">
        <f t="shared" si="9"/>
        <v>25</v>
      </c>
      <c r="W14" s="26">
        <f t="shared" si="10"/>
        <v>16.666666666666664</v>
      </c>
      <c r="X14" s="26">
        <f t="shared" si="11"/>
        <v>60</v>
      </c>
      <c r="Y14" s="26">
        <f t="shared" si="12"/>
        <v>60</v>
      </c>
      <c r="Z14" s="26">
        <f t="shared" si="13"/>
        <v>31.818181818181817</v>
      </c>
      <c r="AA14" s="6">
        <v>1</v>
      </c>
      <c r="AB14" s="6">
        <v>1</v>
      </c>
      <c r="AC14" s="6">
        <v>2</v>
      </c>
      <c r="AD14" s="12">
        <f t="shared" si="14"/>
        <v>0.5</v>
      </c>
      <c r="AE14" s="28">
        <v>60000</v>
      </c>
      <c r="AF14" s="29">
        <f t="shared" si="15"/>
        <v>30000</v>
      </c>
      <c r="AG14" s="6" t="s">
        <v>212</v>
      </c>
      <c r="AH14" s="6">
        <v>4</v>
      </c>
      <c r="AI14" s="6">
        <v>0</v>
      </c>
      <c r="AJ14" s="6">
        <v>0</v>
      </c>
      <c r="AK14" s="6">
        <v>0</v>
      </c>
      <c r="AL14" s="6">
        <v>0</v>
      </c>
      <c r="AM14" s="7">
        <v>0</v>
      </c>
      <c r="AN14" s="7">
        <v>0</v>
      </c>
      <c r="AO14" s="7">
        <v>0</v>
      </c>
      <c r="AP14" s="89">
        <v>0</v>
      </c>
      <c r="AQ14" s="6">
        <v>1</v>
      </c>
      <c r="AR14" s="6">
        <v>1</v>
      </c>
      <c r="AS14" s="6">
        <v>2</v>
      </c>
      <c r="AT14" s="12">
        <f t="shared" si="16"/>
        <v>0.5</v>
      </c>
      <c r="AU14" s="7" t="s">
        <v>208</v>
      </c>
      <c r="AV14" s="28">
        <v>350000</v>
      </c>
      <c r="AW14" s="30">
        <f t="shared" si="17"/>
        <v>175000</v>
      </c>
      <c r="AX14" s="30" t="s">
        <v>213</v>
      </c>
      <c r="AY14" s="6">
        <v>4</v>
      </c>
      <c r="AZ14" s="7">
        <v>100</v>
      </c>
      <c r="BA14" s="7">
        <v>90</v>
      </c>
      <c r="BB14" s="106">
        <f t="shared" si="18"/>
        <v>-10</v>
      </c>
      <c r="BC14" s="31">
        <f t="shared" si="0"/>
        <v>162500</v>
      </c>
      <c r="BD14" s="31">
        <f t="shared" si="1"/>
        <v>445000</v>
      </c>
      <c r="BE14" s="90">
        <f t="shared" si="19"/>
        <v>173.84615384615384</v>
      </c>
      <c r="BF14" s="6">
        <v>10</v>
      </c>
      <c r="BG14" s="28">
        <v>950000</v>
      </c>
      <c r="BH14" s="28">
        <v>800000</v>
      </c>
      <c r="BI14" s="94">
        <f t="shared" si="20"/>
        <v>-15.789473684210526</v>
      </c>
      <c r="BJ14" s="31">
        <f t="shared" si="21"/>
        <v>787500</v>
      </c>
      <c r="BK14" s="31">
        <f t="shared" si="22"/>
        <v>355000</v>
      </c>
      <c r="BL14" s="28">
        <f t="shared" si="23"/>
        <v>-432500</v>
      </c>
      <c r="BM14" s="12">
        <f t="shared" si="24"/>
        <v>-54.920634920634924</v>
      </c>
    </row>
    <row r="15" spans="1:65">
      <c r="A15" s="204"/>
      <c r="B15" s="46" t="s">
        <v>196</v>
      </c>
      <c r="C15" s="35"/>
      <c r="D15" s="91">
        <f>_xlfn.MODE.SNGL(D5:D14)</f>
        <v>2</v>
      </c>
      <c r="E15" s="83">
        <f>_xlfn.MODE.SNGL(E5:E14)</f>
        <v>0.5</v>
      </c>
      <c r="F15" s="83">
        <f>_xlfn.MODE.SNGL(F5:F14)</f>
        <v>2</v>
      </c>
      <c r="G15" s="83">
        <f>_xlfn.MODE.SNGL(G5:G14)</f>
        <v>2</v>
      </c>
      <c r="H15" s="85">
        <f>_xlfn.MODE.SNGL(H5:H14)</f>
        <v>4</v>
      </c>
      <c r="I15" s="41">
        <f t="shared" ref="I15:AF15" si="26">_xlfn.MODE.SNGL(I5:I14)</f>
        <v>20000</v>
      </c>
      <c r="J15" s="41">
        <f t="shared" si="26"/>
        <v>100000</v>
      </c>
      <c r="K15" s="83">
        <f t="shared" si="26"/>
        <v>2</v>
      </c>
      <c r="L15" s="85">
        <f t="shared" si="26"/>
        <v>2.5</v>
      </c>
      <c r="M15" s="85">
        <f t="shared" si="26"/>
        <v>3.5</v>
      </c>
      <c r="N15" s="46">
        <f t="shared" si="26"/>
        <v>6.5</v>
      </c>
      <c r="O15" s="41">
        <f t="shared" si="26"/>
        <v>32500</v>
      </c>
      <c r="P15" s="46">
        <v>0</v>
      </c>
      <c r="Q15" s="41">
        <f t="shared" si="26"/>
        <v>0.5</v>
      </c>
      <c r="R15" s="85">
        <f t="shared" si="26"/>
        <v>0.5</v>
      </c>
      <c r="S15" s="46">
        <f t="shared" si="26"/>
        <v>1.5</v>
      </c>
      <c r="T15" s="85">
        <f t="shared" si="26"/>
        <v>7500</v>
      </c>
      <c r="U15" s="85">
        <f t="shared" si="26"/>
        <v>75000</v>
      </c>
      <c r="V15" s="85"/>
      <c r="W15" s="85"/>
      <c r="X15" s="85"/>
      <c r="Y15" s="85"/>
      <c r="Z15" s="85"/>
      <c r="AA15" s="85">
        <f t="shared" si="26"/>
        <v>1</v>
      </c>
      <c r="AB15" s="85">
        <f t="shared" si="26"/>
        <v>1</v>
      </c>
      <c r="AC15" s="85">
        <f t="shared" si="26"/>
        <v>2</v>
      </c>
      <c r="AD15" s="46">
        <f t="shared" si="26"/>
        <v>0.5</v>
      </c>
      <c r="AE15" s="41">
        <f t="shared" si="26"/>
        <v>20000</v>
      </c>
      <c r="AF15" s="41">
        <f t="shared" si="26"/>
        <v>10000</v>
      </c>
      <c r="AG15" s="38"/>
      <c r="AH15" s="83">
        <f>_xlfn.MODE.SNGL(AH5:AH14)</f>
        <v>4</v>
      </c>
      <c r="AI15" s="84">
        <f t="shared" ref="AI15:AN15" si="27">_xlfn.MODE.SNGL(AI5:AI14)</f>
        <v>0</v>
      </c>
      <c r="AJ15" s="84">
        <f t="shared" si="27"/>
        <v>0</v>
      </c>
      <c r="AK15" s="84">
        <f t="shared" si="27"/>
        <v>0</v>
      </c>
      <c r="AL15" s="84">
        <f t="shared" si="27"/>
        <v>0</v>
      </c>
      <c r="AM15" s="84">
        <f t="shared" si="27"/>
        <v>0</v>
      </c>
      <c r="AN15" s="84">
        <f t="shared" si="27"/>
        <v>0</v>
      </c>
      <c r="AO15" s="84">
        <f>_xlfn.MODE.SNGL(AO5:AO14)</f>
        <v>0</v>
      </c>
      <c r="AP15" s="84">
        <f>_xlfn.MODE.SNGL(AP5:AP14)</f>
        <v>0</v>
      </c>
      <c r="AQ15" s="84">
        <f>_xlfn.MODE.SNGL(AQ5:AQ14)</f>
        <v>1</v>
      </c>
      <c r="AR15" s="35"/>
      <c r="AS15" s="35"/>
      <c r="AT15" s="35"/>
      <c r="AU15" s="35"/>
      <c r="AV15" s="35"/>
      <c r="AW15" s="35"/>
      <c r="AX15" s="35"/>
      <c r="AY15" s="36">
        <f>_xlfn.MODE.SNGL(AY5:AY14)</f>
        <v>4</v>
      </c>
      <c r="AZ15" s="35"/>
      <c r="BA15" s="35"/>
      <c r="BB15" s="35"/>
      <c r="BC15" s="35"/>
      <c r="BD15" s="35"/>
      <c r="BE15" s="35"/>
      <c r="BF15" s="35"/>
      <c r="BG15" s="35"/>
      <c r="BH15" s="35"/>
      <c r="BI15" s="35"/>
      <c r="BJ15" s="35"/>
      <c r="BK15" s="35"/>
      <c r="BL15" s="35"/>
      <c r="BM15" s="35"/>
    </row>
    <row r="16" spans="1:65" s="114" customFormat="1">
      <c r="A16" s="205"/>
      <c r="B16" s="46" t="s">
        <v>141</v>
      </c>
      <c r="C16" s="35"/>
      <c r="D16" s="91">
        <f>AVERAGE(D5:D14)</f>
        <v>2.6</v>
      </c>
      <c r="E16" s="83">
        <f t="shared" ref="E16:J16" si="28">AVERAGE(E5:E14)</f>
        <v>0.40833333333333333</v>
      </c>
      <c r="F16" s="83">
        <f t="shared" si="28"/>
        <v>2.35</v>
      </c>
      <c r="G16" s="83">
        <f t="shared" si="28"/>
        <v>2.2999999999999998</v>
      </c>
      <c r="H16" s="83">
        <f t="shared" si="28"/>
        <v>3.8</v>
      </c>
      <c r="I16" s="82">
        <f t="shared" si="28"/>
        <v>19000</v>
      </c>
      <c r="J16" s="82">
        <f t="shared" si="28"/>
        <v>154500</v>
      </c>
      <c r="K16" s="83">
        <f>_xlfn.MODE.SNGL(K5:K14)</f>
        <v>2</v>
      </c>
      <c r="L16" s="41">
        <f>AVERAGE(L5:L14)</f>
        <v>2.85</v>
      </c>
      <c r="M16" s="41">
        <f t="shared" ref="M16:AB16" si="29">AVERAGE(M5:M14)</f>
        <v>2.9</v>
      </c>
      <c r="N16" s="41">
        <f t="shared" si="29"/>
        <v>5.55</v>
      </c>
      <c r="O16" s="41">
        <f t="shared" si="29"/>
        <v>27750</v>
      </c>
      <c r="P16" s="41">
        <f t="shared" si="29"/>
        <v>259500</v>
      </c>
      <c r="Q16" s="41">
        <f t="shared" si="29"/>
        <v>0.5</v>
      </c>
      <c r="R16" s="41">
        <f t="shared" si="29"/>
        <v>0.6</v>
      </c>
      <c r="S16" s="41">
        <f t="shared" si="29"/>
        <v>1.75</v>
      </c>
      <c r="T16" s="41">
        <f t="shared" si="29"/>
        <v>8750</v>
      </c>
      <c r="U16" s="41">
        <f t="shared" si="29"/>
        <v>105000</v>
      </c>
      <c r="V16" s="41">
        <f t="shared" si="29"/>
        <v>24.583333333333332</v>
      </c>
      <c r="W16" s="41">
        <f t="shared" si="29"/>
        <v>28.333333333333332</v>
      </c>
      <c r="X16" s="41">
        <f t="shared" si="29"/>
        <v>46.845238095238095</v>
      </c>
      <c r="Y16" s="41">
        <f t="shared" si="29"/>
        <v>46.845238095238095</v>
      </c>
      <c r="Z16" s="41">
        <f t="shared" si="29"/>
        <v>37.619648869648863</v>
      </c>
      <c r="AA16" s="41">
        <f t="shared" si="29"/>
        <v>1</v>
      </c>
      <c r="AB16" s="41">
        <f t="shared" si="29"/>
        <v>1</v>
      </c>
      <c r="AC16" s="87">
        <f>AVERAGE(AC5:AC14)</f>
        <v>2.4</v>
      </c>
      <c r="AD16" s="43">
        <f>AVERAGE(AD5:AD14)</f>
        <v>0.4333333333333334</v>
      </c>
      <c r="AE16" s="52">
        <f>AVERAGE(AE5:AE14)</f>
        <v>67000</v>
      </c>
      <c r="AF16" s="52">
        <f>AVERAGE(AF5:AF14)</f>
        <v>25999.999999999996</v>
      </c>
      <c r="AG16" s="38"/>
      <c r="AH16" s="35"/>
      <c r="AI16" s="35"/>
      <c r="AJ16" s="35"/>
      <c r="AK16" s="83">
        <f>AVERAGE(AK7,AK9,AK12,AK13)</f>
        <v>6</v>
      </c>
      <c r="AL16" s="83">
        <f>AVERAGE(AL7,AL9,AL12,AL13)</f>
        <v>0.16904761904761903</v>
      </c>
      <c r="AM16" s="52">
        <f>AVERAGE(AM7,AM9,AM12,AM13)</f>
        <v>101250</v>
      </c>
      <c r="AN16" s="52">
        <f>AVERAGE(AN7,AN9,AN12,AN13)</f>
        <v>17011.904761904763</v>
      </c>
      <c r="AO16" s="36"/>
      <c r="AP16" s="36"/>
      <c r="AQ16" s="36"/>
      <c r="AR16" s="35"/>
      <c r="AS16" s="35"/>
      <c r="AT16" s="40">
        <f>AVERAGE(AT5:AT14)</f>
        <v>0.4416666666666666</v>
      </c>
      <c r="AU16" s="35"/>
      <c r="AV16" s="51">
        <f>AVERAGE(AV5:AV14)</f>
        <v>219000</v>
      </c>
      <c r="AW16" s="51">
        <f>AVERAGE(AW5:AW14)</f>
        <v>99583.333333333328</v>
      </c>
      <c r="AX16" s="45"/>
      <c r="AY16" s="35"/>
      <c r="AZ16" s="46">
        <f>AVERAGE(AZ5:AZ14)</f>
        <v>99.1</v>
      </c>
      <c r="BA16" s="85">
        <f t="shared" ref="BA16:BM16" si="30">AVERAGE(BA5:BA14)</f>
        <v>90.5</v>
      </c>
      <c r="BB16" s="85">
        <f t="shared" si="30"/>
        <v>-8.4029223870105145</v>
      </c>
      <c r="BC16" s="41">
        <f t="shared" si="30"/>
        <v>173500</v>
      </c>
      <c r="BD16" s="41">
        <f t="shared" si="30"/>
        <v>419638.09523809527</v>
      </c>
      <c r="BE16" s="41">
        <f>AVERAGE(BE5:BE14)</f>
        <v>153.83686871373715</v>
      </c>
      <c r="BF16" s="84">
        <f t="shared" si="30"/>
        <v>13.1</v>
      </c>
      <c r="BG16" s="41">
        <f t="shared" si="30"/>
        <v>2175000</v>
      </c>
      <c r="BH16" s="41">
        <f t="shared" si="30"/>
        <v>1721000</v>
      </c>
      <c r="BI16" s="88">
        <f>AVERAGE(BI5:BI14)</f>
        <v>-19.023572972285784</v>
      </c>
      <c r="BJ16" s="41">
        <f t="shared" si="30"/>
        <v>2001500</v>
      </c>
      <c r="BK16" s="41">
        <f t="shared" si="30"/>
        <v>1301361.9047619049</v>
      </c>
      <c r="BL16" s="41">
        <f t="shared" si="30"/>
        <v>-700138.09523809515</v>
      </c>
      <c r="BM16" s="83">
        <f t="shared" si="30"/>
        <v>-37.819841142188245</v>
      </c>
    </row>
    <row r="17" spans="1:65">
      <c r="A17" s="205"/>
      <c r="B17" s="46" t="s">
        <v>345</v>
      </c>
      <c r="C17" s="35"/>
      <c r="D17" s="100">
        <f>STDEV(D5:D14)</f>
        <v>0.69920589878010153</v>
      </c>
      <c r="E17" s="52">
        <f t="shared" ref="E17:K17" si="31">STDEV(E5:E14)</f>
        <v>9.9768249978155768E-2</v>
      </c>
      <c r="F17" s="52">
        <f t="shared" si="31"/>
        <v>0.88349055204657134</v>
      </c>
      <c r="G17" s="52">
        <f t="shared" si="31"/>
        <v>0.67494855771055307</v>
      </c>
      <c r="H17" s="52">
        <f t="shared" si="31"/>
        <v>0.71492035298424017</v>
      </c>
      <c r="I17" s="52">
        <f t="shared" si="31"/>
        <v>3574.6017649212026</v>
      </c>
      <c r="J17" s="52">
        <f t="shared" si="31"/>
        <v>73841.045496390419</v>
      </c>
      <c r="K17" s="82">
        <f t="shared" si="31"/>
        <v>0.48304589153964811</v>
      </c>
      <c r="L17" s="41">
        <f>STDEV(L5:L14)</f>
        <v>0.91439111495634717</v>
      </c>
      <c r="M17" s="41">
        <f t="shared" ref="M17:Z17" si="32">STDEV(M5:M14)</f>
        <v>0.77459666924148374</v>
      </c>
      <c r="N17" s="41">
        <f t="shared" si="32"/>
        <v>1.0394977419675129</v>
      </c>
      <c r="O17" s="41">
        <f t="shared" si="32"/>
        <v>5197.4887098375584</v>
      </c>
      <c r="P17" s="41">
        <f t="shared" si="32"/>
        <v>142369.82358163779</v>
      </c>
      <c r="Q17" s="41">
        <f t="shared" si="32"/>
        <v>0.23570226039551584</v>
      </c>
      <c r="R17" s="41">
        <f t="shared" si="32"/>
        <v>0.31622776601683794</v>
      </c>
      <c r="S17" s="41">
        <f t="shared" si="32"/>
        <v>0.58925565098878963</v>
      </c>
      <c r="T17" s="41">
        <f t="shared" si="32"/>
        <v>2946.278254943948</v>
      </c>
      <c r="U17" s="41">
        <f t="shared" si="32"/>
        <v>91499.848208738695</v>
      </c>
      <c r="V17" s="41">
        <f t="shared" si="32"/>
        <v>13.386756400023883</v>
      </c>
      <c r="W17" s="41">
        <f t="shared" si="32"/>
        <v>17.213259316477409</v>
      </c>
      <c r="X17" s="41">
        <f t="shared" si="32"/>
        <v>15.846431110403362</v>
      </c>
      <c r="Y17" s="41">
        <f t="shared" si="32"/>
        <v>15.846431110403362</v>
      </c>
      <c r="Z17" s="41">
        <f t="shared" si="32"/>
        <v>14.420820107759589</v>
      </c>
      <c r="AA17" s="86">
        <v>0</v>
      </c>
      <c r="AB17" s="86">
        <v>0</v>
      </c>
      <c r="AC17" s="88">
        <f>STDEV(AC5:AC14)</f>
        <v>0.51639777949432208</v>
      </c>
      <c r="AD17" s="88">
        <f>STDEV(AD5:AD14)</f>
        <v>8.606629658238675E-2</v>
      </c>
      <c r="AE17" s="41">
        <f>STDEV(AE5:AE14)</f>
        <v>73454.445444476369</v>
      </c>
      <c r="AF17" s="41">
        <f>STDEV(AF5:AF14)</f>
        <v>23402.0153189347</v>
      </c>
      <c r="AG17" s="38"/>
      <c r="AH17" s="35"/>
      <c r="AI17" s="35"/>
      <c r="AJ17" s="35"/>
      <c r="AK17" s="36"/>
      <c r="AL17" s="83">
        <f>STDEV(AL7,AL9,AL12,AL13)</f>
        <v>2.3489918391982261E-2</v>
      </c>
      <c r="AM17" s="52">
        <f>STDEV(AM7,AM9,AM12,AM13)</f>
        <v>6291.5286960589583</v>
      </c>
      <c r="AN17" s="52">
        <f>STDEV(AN7,AN9,AN12,AN13)</f>
        <v>1399.3708768928971</v>
      </c>
      <c r="AO17" s="36"/>
      <c r="AP17" s="36"/>
      <c r="AQ17" s="36"/>
      <c r="AR17" s="35"/>
      <c r="AS17" s="35"/>
      <c r="AT17" s="40">
        <f>STDEV(AT5:AT14)</f>
        <v>9.6625150727367548E-2</v>
      </c>
      <c r="AU17" s="35"/>
      <c r="AV17" s="51">
        <f>STDEV(AV5:AV14)</f>
        <v>82016.258550769475</v>
      </c>
      <c r="AW17" s="51">
        <f>STDEV(AW5:AW14)</f>
        <v>49532.147560703554</v>
      </c>
      <c r="AX17" s="45"/>
      <c r="AY17" s="35"/>
      <c r="AZ17" s="85">
        <f>STDEV(AZ5:AZ14)</f>
        <v>15.322097332502036</v>
      </c>
      <c r="BA17" s="85">
        <f t="shared" ref="BA17:BG17" si="33">STDEV(BA5:BA14)</f>
        <v>12.349089035228468</v>
      </c>
      <c r="BB17" s="85">
        <f t="shared" si="33"/>
        <v>3.4486100268685544</v>
      </c>
      <c r="BC17" s="41">
        <f t="shared" si="33"/>
        <v>75112.87801998033</v>
      </c>
      <c r="BD17" s="85">
        <f t="shared" si="33"/>
        <v>159912.02733934767</v>
      </c>
      <c r="BE17" s="85">
        <f>STDEV(BE5:BE14)</f>
        <v>71.771480328017134</v>
      </c>
      <c r="BF17" s="41">
        <f t="shared" si="33"/>
        <v>2.7668674625929528</v>
      </c>
      <c r="BG17" s="41">
        <f t="shared" si="33"/>
        <v>1006437.6119097829</v>
      </c>
      <c r="BH17" s="41">
        <f t="shared" ref="BH17:BM17" si="34">STDEV(BH5:BH14)</f>
        <v>754401.16059766978</v>
      </c>
      <c r="BI17" s="41">
        <f t="shared" si="34"/>
        <v>11.256090476779475</v>
      </c>
      <c r="BJ17" s="41">
        <f t="shared" si="34"/>
        <v>1023882.9957025797</v>
      </c>
      <c r="BK17" s="41">
        <f t="shared" si="34"/>
        <v>810838.35012458125</v>
      </c>
      <c r="BL17" s="41">
        <f t="shared" si="34"/>
        <v>319723.13068857603</v>
      </c>
      <c r="BM17" s="41">
        <f t="shared" si="34"/>
        <v>13.488357245071757</v>
      </c>
    </row>
    <row r="18" spans="1:65">
      <c r="A18" s="205"/>
      <c r="B18" s="46" t="s">
        <v>197</v>
      </c>
      <c r="C18" s="35"/>
      <c r="D18" s="92">
        <f>COUNTIF(D5:D14,"2")/10*100</f>
        <v>50</v>
      </c>
      <c r="E18" s="35"/>
      <c r="F18" s="35"/>
      <c r="G18" s="35"/>
      <c r="H18" s="35"/>
      <c r="I18" s="35"/>
      <c r="J18" s="35"/>
      <c r="K18" s="84">
        <f>COUNTIF(K5:K14,"1")/10*100</f>
        <v>30</v>
      </c>
      <c r="L18" s="35"/>
      <c r="M18" s="35"/>
      <c r="N18" s="35"/>
      <c r="O18" s="35"/>
      <c r="P18" s="35"/>
      <c r="Q18" s="35"/>
      <c r="R18" s="35"/>
      <c r="S18" s="35"/>
      <c r="T18" s="35"/>
      <c r="U18" s="35"/>
      <c r="V18" s="35"/>
      <c r="W18" s="35"/>
      <c r="X18" s="35"/>
      <c r="Y18" s="35"/>
      <c r="Z18" s="35"/>
      <c r="AA18" s="84">
        <f>COUNTIF(AA5:AA14,"1")/10*100</f>
        <v>100</v>
      </c>
      <c r="AB18" s="35"/>
      <c r="AC18" s="84">
        <f>COUNTIF(AC5:AC14,"2")/10*100</f>
        <v>60</v>
      </c>
      <c r="AD18" s="38"/>
      <c r="AE18" s="38"/>
      <c r="AF18" s="38"/>
      <c r="AG18" s="36">
        <f>10/10*100</f>
        <v>100</v>
      </c>
      <c r="AH18" s="36">
        <f>COUNTIF(AH5:AH14,"1")/10*100</f>
        <v>10</v>
      </c>
      <c r="AI18" s="36">
        <f>COUNTIF(AI5:AI14,"0")/10*100</f>
        <v>60</v>
      </c>
      <c r="AJ18" s="35"/>
      <c r="AK18" s="39">
        <f>COUNTIF(AK5:AK14,"5")/4*100</f>
        <v>25</v>
      </c>
      <c r="AL18" s="35"/>
      <c r="AM18" s="35"/>
      <c r="AN18" s="35"/>
      <c r="AO18" s="36">
        <f>COUNTIF(AO5:AO14,"Tersumbat")/4*100</f>
        <v>100</v>
      </c>
      <c r="AP18" s="36">
        <f>COUNTIF(AP5:AP14,"1")/4*100</f>
        <v>100</v>
      </c>
      <c r="AQ18" s="36">
        <f>COUNTIF(AQ5:AQ14,"1")/10*100</f>
        <v>100</v>
      </c>
      <c r="AR18" s="35"/>
      <c r="AS18" s="84">
        <f>COUNTIF(AS5:AS14,"2")/10*100</f>
        <v>70</v>
      </c>
      <c r="AT18" s="35"/>
      <c r="AU18" s="84">
        <f>COUNTIF(AU5:AU14,"Jaring")/10*100</f>
        <v>100</v>
      </c>
      <c r="AV18" s="35"/>
      <c r="AW18" s="35"/>
      <c r="AX18" s="37">
        <f>COUNTIF(AX5:AX14,"Tersangkut/robek")/10*100</f>
        <v>100</v>
      </c>
      <c r="AY18" s="36">
        <f>COUNTIF(AY5:AY14,"1")/10*100</f>
        <v>20</v>
      </c>
      <c r="AZ18" s="35"/>
      <c r="BA18" s="35"/>
      <c r="BB18" s="35"/>
      <c r="BC18" s="35"/>
      <c r="BD18" s="35"/>
      <c r="BE18" s="35"/>
      <c r="BF18" s="35"/>
      <c r="BG18" s="35"/>
      <c r="BH18" s="35"/>
      <c r="BI18" s="35"/>
      <c r="BJ18" s="35"/>
      <c r="BK18" s="35"/>
      <c r="BL18" s="35"/>
      <c r="BM18" s="35"/>
    </row>
    <row r="19" spans="1:65">
      <c r="A19" s="205"/>
      <c r="B19" s="46"/>
      <c r="C19" s="35"/>
      <c r="D19" s="92">
        <f>COUNTIF(D5:D14,"3")/10*100</f>
        <v>40</v>
      </c>
      <c r="E19" s="35"/>
      <c r="F19" s="35"/>
      <c r="G19" s="35"/>
      <c r="H19" s="35"/>
      <c r="I19" s="35"/>
      <c r="J19" s="35"/>
      <c r="K19" s="84">
        <f>COUNTIF(K5:K14,"2")/10*100</f>
        <v>70</v>
      </c>
      <c r="L19" s="35"/>
      <c r="M19" s="35"/>
      <c r="N19" s="35"/>
      <c r="O19" s="35"/>
      <c r="P19" s="35"/>
      <c r="Q19" s="35"/>
      <c r="R19" s="35"/>
      <c r="S19" s="35"/>
      <c r="T19" s="35"/>
      <c r="U19" s="35"/>
      <c r="V19" s="35"/>
      <c r="W19" s="35"/>
      <c r="X19" s="35"/>
      <c r="Y19" s="35"/>
      <c r="Z19" s="35"/>
      <c r="AA19" s="35"/>
      <c r="AB19" s="35"/>
      <c r="AC19" s="84">
        <f>COUNTIF(AC5:AC14,"3")/10*100</f>
        <v>40</v>
      </c>
      <c r="AD19" s="38"/>
      <c r="AE19" s="38"/>
      <c r="AF19" s="38"/>
      <c r="AG19" s="36"/>
      <c r="AH19" s="36">
        <f>COUNTIF(AH5:AH14,"2")/10*100</f>
        <v>10</v>
      </c>
      <c r="AI19" s="36">
        <f>COUNTIF(AI5:AI14,"1")/10*100</f>
        <v>40</v>
      </c>
      <c r="AJ19" s="35"/>
      <c r="AK19" s="36">
        <f>COUNTIF(AK5:AK14,"6")/4*100</f>
        <v>50</v>
      </c>
      <c r="AL19" s="35"/>
      <c r="AM19" s="35"/>
      <c r="AN19" s="35"/>
      <c r="AO19" s="35"/>
      <c r="AP19" s="36">
        <f>COUNTIF(AP5:AP14,"2")/4*100</f>
        <v>0</v>
      </c>
      <c r="AQ19" s="35"/>
      <c r="AR19" s="35"/>
      <c r="AS19" s="84">
        <f>COUNTIF(AS5:AS14,"3")/10*100</f>
        <v>20</v>
      </c>
      <c r="AT19" s="35"/>
      <c r="AU19" s="35"/>
      <c r="AV19" s="35"/>
      <c r="AW19" s="35"/>
      <c r="AX19" s="35"/>
      <c r="AY19" s="36">
        <f>COUNTIF(AY5:AY14,"2")/10*100</f>
        <v>10</v>
      </c>
      <c r="AZ19" s="35"/>
      <c r="BA19" s="35"/>
      <c r="BB19" s="35"/>
      <c r="BC19" s="35"/>
      <c r="BD19" s="35"/>
      <c r="BE19" s="35"/>
      <c r="BF19" s="35"/>
      <c r="BG19" s="35"/>
      <c r="BH19" s="35"/>
      <c r="BI19" s="35"/>
      <c r="BJ19" s="35"/>
      <c r="BK19" s="35"/>
      <c r="BL19" s="35"/>
      <c r="BM19" s="35"/>
    </row>
    <row r="20" spans="1:65">
      <c r="A20" s="205"/>
      <c r="B20" s="46"/>
      <c r="C20" s="35"/>
      <c r="D20" s="92">
        <f>COUNTIF(D5:D14,"4")/10*100</f>
        <v>10</v>
      </c>
      <c r="E20" s="35"/>
      <c r="F20" s="35"/>
      <c r="G20" s="35"/>
      <c r="H20" s="35"/>
      <c r="I20" s="35"/>
      <c r="J20" s="35"/>
      <c r="K20" s="46"/>
      <c r="L20" s="35"/>
      <c r="M20" s="35"/>
      <c r="N20" s="35"/>
      <c r="O20" s="35"/>
      <c r="P20" s="35"/>
      <c r="Q20" s="35"/>
      <c r="R20" s="35"/>
      <c r="S20" s="35"/>
      <c r="T20" s="35"/>
      <c r="U20" s="35"/>
      <c r="V20" s="35"/>
      <c r="W20" s="35"/>
      <c r="X20" s="35"/>
      <c r="Y20" s="35"/>
      <c r="Z20" s="35"/>
      <c r="AA20" s="35"/>
      <c r="AB20" s="35"/>
      <c r="AC20" s="47"/>
      <c r="AD20" s="38"/>
      <c r="AE20" s="38"/>
      <c r="AF20" s="38"/>
      <c r="AG20" s="36"/>
      <c r="AH20" s="36">
        <f>COUNTIF(AH5:AH14,"3")/10*100</f>
        <v>0</v>
      </c>
      <c r="AI20" s="35"/>
      <c r="AJ20" s="35"/>
      <c r="AK20" s="36">
        <f>COUNTIF(AK5:AK14,"7")/4*100</f>
        <v>25</v>
      </c>
      <c r="AL20" s="35"/>
      <c r="AM20" s="35"/>
      <c r="AN20" s="35"/>
      <c r="AO20" s="35"/>
      <c r="AP20" s="36">
        <f>COUNTIF(AP5:AP14,"3")/4*100</f>
        <v>0</v>
      </c>
      <c r="AQ20" s="35"/>
      <c r="AR20" s="35"/>
      <c r="AS20" s="84">
        <f>COUNTIF(AS5:AS14,"4")/10*100</f>
        <v>10</v>
      </c>
      <c r="AT20" s="35"/>
      <c r="AU20" s="35"/>
      <c r="AV20" s="35"/>
      <c r="AW20" s="35"/>
      <c r="AX20" s="35"/>
      <c r="AY20" s="36">
        <f>COUNTIF(AY5:AY14,"3")/10*100</f>
        <v>0</v>
      </c>
      <c r="AZ20" s="35"/>
      <c r="BA20" s="35"/>
      <c r="BB20" s="35"/>
      <c r="BC20" s="35"/>
      <c r="BD20" s="35"/>
      <c r="BE20" s="35"/>
      <c r="BF20" s="35"/>
      <c r="BG20" s="35"/>
      <c r="BH20" s="35"/>
      <c r="BI20" s="35"/>
      <c r="BJ20" s="35"/>
      <c r="BK20" s="35"/>
      <c r="BL20" s="35"/>
      <c r="BM20" s="35"/>
    </row>
    <row r="21" spans="1:65">
      <c r="A21" s="205"/>
      <c r="B21" s="46"/>
      <c r="C21" s="35"/>
      <c r="D21" s="35"/>
      <c r="E21" s="35"/>
      <c r="F21" s="35"/>
      <c r="G21" s="35"/>
      <c r="H21" s="35"/>
      <c r="I21" s="35"/>
      <c r="J21" s="35"/>
      <c r="K21" s="46"/>
      <c r="L21" s="35"/>
      <c r="M21" s="35"/>
      <c r="N21" s="35"/>
      <c r="O21" s="35"/>
      <c r="P21" s="164"/>
      <c r="Q21" s="35"/>
      <c r="R21" s="35"/>
      <c r="S21" s="35"/>
      <c r="T21" s="35"/>
      <c r="U21" s="35"/>
      <c r="V21" s="35"/>
      <c r="W21" s="35"/>
      <c r="X21" s="35"/>
      <c r="Y21" s="35"/>
      <c r="Z21" s="35"/>
      <c r="AA21" s="35"/>
      <c r="AB21" s="35"/>
      <c r="AC21" s="47"/>
      <c r="AD21" s="38"/>
      <c r="AE21" s="38"/>
      <c r="AF21" s="38"/>
      <c r="AG21" s="36"/>
      <c r="AH21" s="36">
        <f>COUNTIF(AH5:AH14,"4")/10*100</f>
        <v>50</v>
      </c>
      <c r="AI21" s="35"/>
      <c r="AJ21" s="35"/>
      <c r="AK21" s="35"/>
      <c r="AL21" s="35"/>
      <c r="AM21" s="35"/>
      <c r="AN21" s="35"/>
      <c r="AO21" s="35"/>
      <c r="AP21" s="36">
        <f>COUNTIF(AP5:AP14,"4")/4*100</f>
        <v>0</v>
      </c>
      <c r="AQ21" s="35"/>
      <c r="AR21" s="35"/>
      <c r="AS21" s="35"/>
      <c r="AT21" s="35"/>
      <c r="AU21" s="35"/>
      <c r="AV21" s="35"/>
      <c r="AW21" s="35"/>
      <c r="AX21" s="35"/>
      <c r="AY21" s="36">
        <f>COUNTIF(AY5:AY14,"4")/10*100</f>
        <v>40</v>
      </c>
      <c r="AZ21" s="35"/>
      <c r="BA21" s="35"/>
      <c r="BB21" s="35"/>
      <c r="BC21" s="35"/>
      <c r="BD21" s="35"/>
      <c r="BE21" s="35"/>
      <c r="BF21" s="35"/>
      <c r="BG21" s="35"/>
      <c r="BH21" s="35"/>
      <c r="BI21" s="35"/>
      <c r="BJ21" s="35"/>
      <c r="BK21" s="35"/>
      <c r="BL21" s="35"/>
      <c r="BM21" s="35"/>
    </row>
    <row r="22" spans="1:65">
      <c r="A22" s="205"/>
      <c r="B22" s="46"/>
      <c r="C22" s="35"/>
      <c r="D22" s="35"/>
      <c r="E22" s="35"/>
      <c r="F22" s="35"/>
      <c r="G22" s="35"/>
      <c r="H22" s="35"/>
      <c r="I22" s="35"/>
      <c r="J22" s="35"/>
      <c r="K22" s="46"/>
      <c r="L22" s="35"/>
      <c r="M22" s="35"/>
      <c r="N22" s="35"/>
      <c r="O22" s="35"/>
      <c r="P22" s="35"/>
      <c r="Q22" s="35"/>
      <c r="R22" s="35"/>
      <c r="S22" s="35"/>
      <c r="T22" s="35"/>
      <c r="U22" s="35"/>
      <c r="V22" s="35"/>
      <c r="W22" s="35"/>
      <c r="X22" s="35"/>
      <c r="Y22" s="35"/>
      <c r="Z22" s="35"/>
      <c r="AA22" s="35"/>
      <c r="AB22" s="35"/>
      <c r="AC22" s="47"/>
      <c r="AD22" s="38"/>
      <c r="AE22" s="38"/>
      <c r="AF22" s="38"/>
      <c r="AG22" s="36"/>
      <c r="AH22" s="36">
        <f>COUNTIF(AH5:AH14,"5")/10*100</f>
        <v>30</v>
      </c>
      <c r="AI22" s="35"/>
      <c r="AJ22" s="35"/>
      <c r="AK22" s="35"/>
      <c r="AL22" s="35"/>
      <c r="AM22" s="35"/>
      <c r="AN22" s="35"/>
      <c r="AO22" s="35"/>
      <c r="AP22" s="36">
        <f>COUNTIF(AP5:AP14,"5")/4*100</f>
        <v>0</v>
      </c>
      <c r="AQ22" s="35"/>
      <c r="AR22" s="35"/>
      <c r="AS22" s="35"/>
      <c r="AT22" s="35"/>
      <c r="AU22" s="35"/>
      <c r="AV22" s="35"/>
      <c r="AW22" s="35"/>
      <c r="AX22" s="35"/>
      <c r="AY22" s="36">
        <f>COUNTIF(AY5:AY14,"5")/10*100</f>
        <v>30</v>
      </c>
      <c r="AZ22" s="35"/>
      <c r="BA22" s="35"/>
      <c r="BB22" s="35"/>
      <c r="BC22" s="35"/>
      <c r="BD22" s="35"/>
      <c r="BE22" s="35"/>
      <c r="BF22" s="35"/>
      <c r="BG22" s="35"/>
      <c r="BH22" s="35"/>
      <c r="BI22" s="35"/>
      <c r="BJ22" s="35"/>
      <c r="BK22" s="35"/>
      <c r="BL22" s="35"/>
      <c r="BM22" s="35"/>
    </row>
    <row r="23" spans="1:65">
      <c r="A23" s="205"/>
      <c r="B23" s="46"/>
      <c r="C23" s="35"/>
      <c r="D23" s="35"/>
      <c r="E23" s="35"/>
      <c r="F23" s="35"/>
      <c r="G23" s="35"/>
      <c r="H23" s="35"/>
      <c r="I23" s="35"/>
      <c r="J23" s="35"/>
      <c r="K23" s="46"/>
      <c r="L23" s="35"/>
      <c r="M23" s="35"/>
      <c r="N23" s="35"/>
      <c r="O23" s="35"/>
      <c r="P23" s="35"/>
      <c r="Q23" s="35"/>
      <c r="R23" s="35"/>
      <c r="S23" s="35"/>
      <c r="T23" s="35"/>
      <c r="U23" s="35"/>
      <c r="V23" s="35"/>
      <c r="W23" s="35"/>
      <c r="X23" s="35"/>
      <c r="Y23" s="35"/>
      <c r="Z23" s="35"/>
      <c r="AA23" s="35"/>
      <c r="AB23" s="35"/>
      <c r="AC23" s="47"/>
      <c r="AD23" s="38"/>
      <c r="AE23" s="38"/>
      <c r="AF23" s="38"/>
      <c r="AG23" s="36"/>
      <c r="AH23" s="36">
        <f>COUNTIF(AH5:AH14,"6")/10*100</f>
        <v>0</v>
      </c>
      <c r="AI23" s="35"/>
      <c r="AJ23" s="35"/>
      <c r="AK23" s="35"/>
      <c r="AL23" s="35"/>
      <c r="AM23" s="35"/>
      <c r="AN23" s="35"/>
      <c r="AO23" s="35"/>
      <c r="AP23" s="36">
        <f>COUNTIF(AP5:AP14,"6")/4*100</f>
        <v>0</v>
      </c>
      <c r="AQ23" s="35"/>
      <c r="AR23" s="35"/>
      <c r="AS23" s="35"/>
      <c r="AT23" s="35"/>
      <c r="AU23" s="35"/>
      <c r="AV23" s="35"/>
      <c r="AW23" s="35"/>
      <c r="AX23" s="35"/>
      <c r="AY23" s="36">
        <f>COUNTIF(AY5:AY14,"6")/10*100</f>
        <v>0</v>
      </c>
      <c r="AZ23" s="35"/>
      <c r="BA23" s="35"/>
      <c r="BB23" s="35"/>
      <c r="BC23" s="35"/>
      <c r="BD23" s="35"/>
      <c r="BE23" s="35"/>
      <c r="BF23" s="35"/>
      <c r="BG23" s="35"/>
      <c r="BH23" s="35"/>
      <c r="BI23" s="35"/>
      <c r="BJ23" s="35"/>
      <c r="BK23" s="35"/>
      <c r="BL23" s="35"/>
      <c r="BM23" s="35"/>
    </row>
    <row r="24" spans="1:65">
      <c r="A24" s="206"/>
      <c r="B24" s="46"/>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47"/>
      <c r="AD24" s="38"/>
      <c r="AE24" s="38"/>
      <c r="AF24" s="38"/>
      <c r="AG24" s="36"/>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row>
    <row r="25" spans="1:65">
      <c r="A25" s="6" t="s">
        <v>31</v>
      </c>
      <c r="B25" s="7" t="s">
        <v>87</v>
      </c>
      <c r="C25" s="32">
        <v>1</v>
      </c>
      <c r="D25" s="32">
        <v>3</v>
      </c>
      <c r="E25" s="33">
        <f>C25/D25</f>
        <v>0.33333333333333331</v>
      </c>
      <c r="F25" s="6">
        <v>5</v>
      </c>
      <c r="G25" s="6">
        <v>2.5</v>
      </c>
      <c r="H25" s="6">
        <v>15</v>
      </c>
      <c r="I25" s="28">
        <f>5000*H25</f>
        <v>75000</v>
      </c>
      <c r="J25" s="28">
        <v>280000</v>
      </c>
      <c r="K25" s="6">
        <v>2</v>
      </c>
      <c r="L25" s="6">
        <v>6</v>
      </c>
      <c r="M25" s="6">
        <v>3</v>
      </c>
      <c r="N25" s="6">
        <v>21</v>
      </c>
      <c r="O25" s="28">
        <f>5000*N25</f>
        <v>105000</v>
      </c>
      <c r="P25" s="28">
        <v>300000</v>
      </c>
      <c r="Q25" s="94">
        <f>L25-F25</f>
        <v>1</v>
      </c>
      <c r="R25" s="94">
        <f>M25-G25</f>
        <v>0.5</v>
      </c>
      <c r="S25" s="94">
        <f>N25-H25</f>
        <v>6</v>
      </c>
      <c r="T25" s="93">
        <f>O25-I25</f>
        <v>30000</v>
      </c>
      <c r="U25" s="28">
        <f>P25-J25</f>
        <v>20000</v>
      </c>
      <c r="V25" s="94">
        <f>Q25/F25*100</f>
        <v>20</v>
      </c>
      <c r="W25" s="94">
        <f>R25/G25*100</f>
        <v>20</v>
      </c>
      <c r="X25" s="93">
        <f>S25/H25*100</f>
        <v>40</v>
      </c>
      <c r="Y25" s="93">
        <f>T25/I25*100</f>
        <v>40</v>
      </c>
      <c r="Z25" s="93">
        <f>U25/J25*100</f>
        <v>7.1428571428571423</v>
      </c>
      <c r="AA25" s="6">
        <v>1</v>
      </c>
      <c r="AB25" s="6">
        <v>1</v>
      </c>
      <c r="AC25" s="6">
        <v>4</v>
      </c>
      <c r="AD25" s="12">
        <f>AB25/AC25</f>
        <v>0.25</v>
      </c>
      <c r="AE25" s="28">
        <v>2000000</v>
      </c>
      <c r="AF25" s="28">
        <f>AD25*AE25</f>
        <v>500000</v>
      </c>
      <c r="AG25" s="6" t="s">
        <v>212</v>
      </c>
      <c r="AH25" s="6">
        <v>1</v>
      </c>
      <c r="AI25" s="6">
        <v>1</v>
      </c>
      <c r="AJ25" s="6">
        <v>1</v>
      </c>
      <c r="AK25" s="6">
        <v>2</v>
      </c>
      <c r="AL25" s="12">
        <f>AJ25/AK25</f>
        <v>0.5</v>
      </c>
      <c r="AM25" s="28">
        <v>3000000</v>
      </c>
      <c r="AN25" s="30">
        <f>AL25*AM25</f>
        <v>1500000</v>
      </c>
      <c r="AO25" s="30" t="s">
        <v>210</v>
      </c>
      <c r="AP25" s="6">
        <v>1</v>
      </c>
      <c r="AQ25" s="6">
        <v>1</v>
      </c>
      <c r="AR25" s="6">
        <v>1</v>
      </c>
      <c r="AS25" s="6">
        <v>2</v>
      </c>
      <c r="AT25" s="12">
        <f>AR25/AS25</f>
        <v>0.5</v>
      </c>
      <c r="AU25" s="6" t="s">
        <v>208</v>
      </c>
      <c r="AV25" s="26">
        <v>250000</v>
      </c>
      <c r="AW25" s="28">
        <f>AT25*AV25</f>
        <v>125000</v>
      </c>
      <c r="AX25" s="7" t="s">
        <v>213</v>
      </c>
      <c r="AY25" s="6">
        <v>5</v>
      </c>
      <c r="AZ25" s="28">
        <v>200</v>
      </c>
      <c r="BA25" s="28">
        <v>150</v>
      </c>
      <c r="BB25" s="94">
        <f>(BA25-AZ25)/AZ25*100</f>
        <v>-25</v>
      </c>
      <c r="BC25" s="31">
        <f t="shared" ref="BC25:BC34" si="35">I25+J25</f>
        <v>355000</v>
      </c>
      <c r="BD25" s="31">
        <f t="shared" ref="BD25:BD34" si="36">O25+P25+AF25+AN25+AW25</f>
        <v>2530000</v>
      </c>
      <c r="BE25" s="31">
        <f>(BD25-BC25)/BC25*100</f>
        <v>612.67605633802816</v>
      </c>
      <c r="BF25" s="6">
        <v>5</v>
      </c>
      <c r="BG25" s="28">
        <v>5000000</v>
      </c>
      <c r="BH25" s="28">
        <v>4500000</v>
      </c>
      <c r="BI25" s="94">
        <f>(BH25-BG25)/BG25*100</f>
        <v>-10</v>
      </c>
      <c r="BJ25" s="31">
        <f>BG25-BC25</f>
        <v>4645000</v>
      </c>
      <c r="BK25" s="31">
        <f>BH25-BD25</f>
        <v>1970000</v>
      </c>
      <c r="BL25" s="26">
        <f>BK25-BJ25</f>
        <v>-2675000</v>
      </c>
      <c r="BM25" s="12">
        <f>BL25/BJ25*100</f>
        <v>-57.588805166846072</v>
      </c>
    </row>
    <row r="26" spans="1:65">
      <c r="A26" s="6" t="s">
        <v>32</v>
      </c>
      <c r="B26" s="7" t="s">
        <v>88</v>
      </c>
      <c r="C26" s="32">
        <v>1</v>
      </c>
      <c r="D26" s="32">
        <v>4</v>
      </c>
      <c r="E26" s="33">
        <f t="shared" ref="E26:E34" si="37">C26/D26</f>
        <v>0.25</v>
      </c>
      <c r="F26" s="6">
        <v>5</v>
      </c>
      <c r="G26" s="6">
        <v>3</v>
      </c>
      <c r="H26" s="6">
        <v>10</v>
      </c>
      <c r="I26" s="28">
        <f t="shared" ref="I26:I34" si="38">5000*H26</f>
        <v>50000</v>
      </c>
      <c r="J26" s="28">
        <v>300000</v>
      </c>
      <c r="K26" s="6">
        <v>1</v>
      </c>
      <c r="L26" s="6">
        <v>5.5</v>
      </c>
      <c r="M26" s="6">
        <v>3</v>
      </c>
      <c r="N26" s="6">
        <v>20</v>
      </c>
      <c r="O26" s="28">
        <f>5000*N26</f>
        <v>100000</v>
      </c>
      <c r="P26" s="28">
        <v>500000</v>
      </c>
      <c r="Q26" s="94">
        <f t="shared" ref="Q26:Q34" si="39">L26-F26</f>
        <v>0.5</v>
      </c>
      <c r="R26" s="94">
        <f t="shared" ref="R26:R34" si="40">M26-G26</f>
        <v>0</v>
      </c>
      <c r="S26" s="94">
        <f t="shared" ref="S26:S34" si="41">N26-H26</f>
        <v>10</v>
      </c>
      <c r="T26" s="93">
        <f t="shared" ref="T26:T34" si="42">O26-I26</f>
        <v>50000</v>
      </c>
      <c r="U26" s="28">
        <f t="shared" ref="U26:U34" si="43">P26-J26</f>
        <v>200000</v>
      </c>
      <c r="V26" s="94">
        <f t="shared" ref="V26:V34" si="44">Q26/F26*100</f>
        <v>10</v>
      </c>
      <c r="W26" s="94">
        <f t="shared" ref="W26:W34" si="45">R26/G26*100</f>
        <v>0</v>
      </c>
      <c r="X26" s="93">
        <f t="shared" ref="X26:X34" si="46">S26/H26*100</f>
        <v>100</v>
      </c>
      <c r="Y26" s="93">
        <f t="shared" ref="Y26:Y34" si="47">T26/I26*100</f>
        <v>100</v>
      </c>
      <c r="Z26" s="93">
        <f t="shared" ref="Z26:Z34" si="48">U26/J26*100</f>
        <v>66.666666666666657</v>
      </c>
      <c r="AA26" s="6">
        <v>1</v>
      </c>
      <c r="AB26" s="6">
        <v>1</v>
      </c>
      <c r="AC26" s="6">
        <v>4</v>
      </c>
      <c r="AD26" s="12">
        <f t="shared" ref="AD26:AD34" si="49">AB26/AC26</f>
        <v>0.25</v>
      </c>
      <c r="AE26" s="28">
        <v>800000</v>
      </c>
      <c r="AF26" s="28">
        <f t="shared" ref="AF26:AF34" si="50">AD26*AE26</f>
        <v>200000</v>
      </c>
      <c r="AG26" s="6" t="s">
        <v>212</v>
      </c>
      <c r="AH26" s="6">
        <v>4</v>
      </c>
      <c r="AI26" s="6">
        <v>1</v>
      </c>
      <c r="AJ26" s="6">
        <v>1</v>
      </c>
      <c r="AK26" s="6">
        <v>3</v>
      </c>
      <c r="AL26" s="12">
        <f t="shared" ref="AL26:AL34" si="51">AJ26/AK26</f>
        <v>0.33333333333333331</v>
      </c>
      <c r="AM26" s="28">
        <v>1000000</v>
      </c>
      <c r="AN26" s="30">
        <f t="shared" ref="AN26:AN34" si="52">AL26*AM26</f>
        <v>333333.33333333331</v>
      </c>
      <c r="AO26" s="30" t="s">
        <v>210</v>
      </c>
      <c r="AP26" s="6">
        <v>1</v>
      </c>
      <c r="AQ26" s="6">
        <v>1</v>
      </c>
      <c r="AR26" s="6">
        <v>1</v>
      </c>
      <c r="AS26" s="6">
        <v>2</v>
      </c>
      <c r="AT26" s="12">
        <f t="shared" ref="AT26:AT34" si="53">AR26/AS26</f>
        <v>0.5</v>
      </c>
      <c r="AU26" s="6" t="s">
        <v>208</v>
      </c>
      <c r="AV26" s="28">
        <v>150000</v>
      </c>
      <c r="AW26" s="28">
        <f t="shared" ref="AW26:AW34" si="54">AT26*AV26</f>
        <v>75000</v>
      </c>
      <c r="AX26" s="7" t="s">
        <v>213</v>
      </c>
      <c r="AY26" s="6">
        <v>1</v>
      </c>
      <c r="AZ26" s="28">
        <v>200</v>
      </c>
      <c r="BA26" s="28">
        <v>120</v>
      </c>
      <c r="BB26" s="94">
        <f t="shared" ref="BB26:BB34" si="55">(BA26-AZ26)/AZ26*100</f>
        <v>-40</v>
      </c>
      <c r="BC26" s="31">
        <f t="shared" si="35"/>
        <v>350000</v>
      </c>
      <c r="BD26" s="31">
        <f t="shared" si="36"/>
        <v>1208333.3333333333</v>
      </c>
      <c r="BE26" s="31">
        <f t="shared" ref="BE26:BE34" si="56">(BD26-BC26)/BC26*100</f>
        <v>245.23809523809521</v>
      </c>
      <c r="BF26" s="6">
        <v>10</v>
      </c>
      <c r="BG26" s="28">
        <v>5300000</v>
      </c>
      <c r="BH26" s="28">
        <v>4200000</v>
      </c>
      <c r="BI26" s="94">
        <f t="shared" ref="BI26:BI34" si="57">(BH26-BG26)/BG26*100</f>
        <v>-20.754716981132077</v>
      </c>
      <c r="BJ26" s="31">
        <f t="shared" ref="BJ26:BJ34" si="58">BG26-BC26</f>
        <v>4950000</v>
      </c>
      <c r="BK26" s="31">
        <f t="shared" ref="BK26:BK34" si="59">BH26-BD26</f>
        <v>2991666.666666667</v>
      </c>
      <c r="BL26" s="26">
        <f t="shared" ref="BL26:BL34" si="60">BK26-BJ26</f>
        <v>-1958333.333333333</v>
      </c>
      <c r="BM26" s="12">
        <f t="shared" ref="BM26:BM34" si="61">BL26/BJ26*100</f>
        <v>-39.562289562289557</v>
      </c>
    </row>
    <row r="27" spans="1:65">
      <c r="A27" s="6" t="s">
        <v>33</v>
      </c>
      <c r="B27" s="7" t="s">
        <v>89</v>
      </c>
      <c r="C27" s="32">
        <v>1</v>
      </c>
      <c r="D27" s="32">
        <v>3</v>
      </c>
      <c r="E27" s="33">
        <f t="shared" si="37"/>
        <v>0.33333333333333331</v>
      </c>
      <c r="F27" s="6">
        <v>6</v>
      </c>
      <c r="G27" s="6">
        <v>3</v>
      </c>
      <c r="H27" s="6">
        <v>20</v>
      </c>
      <c r="I27" s="28">
        <f t="shared" si="38"/>
        <v>100000</v>
      </c>
      <c r="J27" s="28">
        <v>300000</v>
      </c>
      <c r="K27" s="6">
        <v>2</v>
      </c>
      <c r="L27" s="6">
        <v>6</v>
      </c>
      <c r="M27" s="6">
        <v>3</v>
      </c>
      <c r="N27" s="6">
        <v>24</v>
      </c>
      <c r="O27" s="28">
        <f t="shared" ref="O27:O34" si="62">5000*N27</f>
        <v>120000</v>
      </c>
      <c r="P27" s="28">
        <v>350000</v>
      </c>
      <c r="Q27" s="94">
        <f t="shared" si="39"/>
        <v>0</v>
      </c>
      <c r="R27" s="94">
        <f t="shared" si="40"/>
        <v>0</v>
      </c>
      <c r="S27" s="94">
        <f t="shared" si="41"/>
        <v>4</v>
      </c>
      <c r="T27" s="93">
        <f t="shared" si="42"/>
        <v>20000</v>
      </c>
      <c r="U27" s="28">
        <f t="shared" si="43"/>
        <v>50000</v>
      </c>
      <c r="V27" s="94">
        <f t="shared" si="44"/>
        <v>0</v>
      </c>
      <c r="W27" s="94">
        <f t="shared" si="45"/>
        <v>0</v>
      </c>
      <c r="X27" s="93">
        <f t="shared" si="46"/>
        <v>20</v>
      </c>
      <c r="Y27" s="93">
        <f t="shared" si="47"/>
        <v>20</v>
      </c>
      <c r="Z27" s="93">
        <f t="shared" si="48"/>
        <v>16.666666666666664</v>
      </c>
      <c r="AA27" s="6">
        <v>1</v>
      </c>
      <c r="AB27" s="6">
        <v>1</v>
      </c>
      <c r="AC27" s="6">
        <v>3</v>
      </c>
      <c r="AD27" s="12">
        <f t="shared" si="49"/>
        <v>0.33333333333333331</v>
      </c>
      <c r="AE27" s="28">
        <v>50000</v>
      </c>
      <c r="AF27" s="28">
        <f t="shared" si="50"/>
        <v>16666.666666666664</v>
      </c>
      <c r="AG27" s="6" t="s">
        <v>212</v>
      </c>
      <c r="AH27" s="6">
        <v>1</v>
      </c>
      <c r="AI27" s="6">
        <v>1</v>
      </c>
      <c r="AJ27" s="6">
        <v>1</v>
      </c>
      <c r="AK27" s="6">
        <v>3</v>
      </c>
      <c r="AL27" s="12">
        <f t="shared" si="51"/>
        <v>0.33333333333333331</v>
      </c>
      <c r="AM27" s="28">
        <v>400000</v>
      </c>
      <c r="AN27" s="30">
        <f t="shared" si="52"/>
        <v>133333.33333333331</v>
      </c>
      <c r="AO27" s="30" t="s">
        <v>210</v>
      </c>
      <c r="AP27" s="6">
        <v>2</v>
      </c>
      <c r="AQ27" s="6">
        <v>1</v>
      </c>
      <c r="AR27" s="6">
        <v>1</v>
      </c>
      <c r="AS27" s="6">
        <v>3</v>
      </c>
      <c r="AT27" s="12">
        <f t="shared" si="53"/>
        <v>0.33333333333333331</v>
      </c>
      <c r="AU27" s="6" t="s">
        <v>208</v>
      </c>
      <c r="AV27" s="28">
        <v>200000</v>
      </c>
      <c r="AW27" s="28">
        <f t="shared" si="54"/>
        <v>66666.666666666657</v>
      </c>
      <c r="AX27" s="7" t="s">
        <v>213</v>
      </c>
      <c r="AY27" s="6">
        <v>4</v>
      </c>
      <c r="AZ27" s="28">
        <v>800</v>
      </c>
      <c r="BA27" s="28">
        <v>600</v>
      </c>
      <c r="BB27" s="94">
        <f t="shared" si="55"/>
        <v>-25</v>
      </c>
      <c r="BC27" s="31">
        <f t="shared" si="35"/>
        <v>400000</v>
      </c>
      <c r="BD27" s="31">
        <f t="shared" si="36"/>
        <v>686666.66666666663</v>
      </c>
      <c r="BE27" s="31">
        <f t="shared" si="56"/>
        <v>71.666666666666657</v>
      </c>
      <c r="BF27" s="6">
        <v>50</v>
      </c>
      <c r="BG27" s="28">
        <v>12000000</v>
      </c>
      <c r="BH27" s="28">
        <v>10000000</v>
      </c>
      <c r="BI27" s="94">
        <f t="shared" si="57"/>
        <v>-16.666666666666664</v>
      </c>
      <c r="BJ27" s="31">
        <f t="shared" si="58"/>
        <v>11600000</v>
      </c>
      <c r="BK27" s="31">
        <f t="shared" si="59"/>
        <v>9313333.333333334</v>
      </c>
      <c r="BL27" s="26">
        <f t="shared" si="60"/>
        <v>-2286666.666666666</v>
      </c>
      <c r="BM27" s="12">
        <f t="shared" si="61"/>
        <v>-19.712643678160916</v>
      </c>
    </row>
    <row r="28" spans="1:65">
      <c r="A28" s="6" t="s">
        <v>34</v>
      </c>
      <c r="B28" s="7" t="s">
        <v>90</v>
      </c>
      <c r="C28" s="32">
        <v>1</v>
      </c>
      <c r="D28" s="32">
        <v>4</v>
      </c>
      <c r="E28" s="33">
        <f t="shared" si="37"/>
        <v>0.25</v>
      </c>
      <c r="F28" s="6">
        <v>4</v>
      </c>
      <c r="G28" s="6">
        <v>2</v>
      </c>
      <c r="H28" s="6">
        <v>20</v>
      </c>
      <c r="I28" s="28">
        <f t="shared" si="38"/>
        <v>100000</v>
      </c>
      <c r="J28" s="28">
        <v>800000</v>
      </c>
      <c r="K28" s="6">
        <v>1</v>
      </c>
      <c r="L28" s="6">
        <v>7</v>
      </c>
      <c r="M28" s="6">
        <v>4</v>
      </c>
      <c r="N28" s="6">
        <v>22</v>
      </c>
      <c r="O28" s="28">
        <f t="shared" si="62"/>
        <v>110000</v>
      </c>
      <c r="P28" s="28">
        <v>900000</v>
      </c>
      <c r="Q28" s="94">
        <f t="shared" si="39"/>
        <v>3</v>
      </c>
      <c r="R28" s="94">
        <f t="shared" si="40"/>
        <v>2</v>
      </c>
      <c r="S28" s="94">
        <f t="shared" si="41"/>
        <v>2</v>
      </c>
      <c r="T28" s="93">
        <f t="shared" si="42"/>
        <v>10000</v>
      </c>
      <c r="U28" s="28">
        <f t="shared" si="43"/>
        <v>100000</v>
      </c>
      <c r="V28" s="94">
        <f t="shared" si="44"/>
        <v>75</v>
      </c>
      <c r="W28" s="94">
        <f t="shared" si="45"/>
        <v>100</v>
      </c>
      <c r="X28" s="93">
        <f t="shared" si="46"/>
        <v>10</v>
      </c>
      <c r="Y28" s="93">
        <f t="shared" si="47"/>
        <v>10</v>
      </c>
      <c r="Z28" s="93">
        <f t="shared" si="48"/>
        <v>12.5</v>
      </c>
      <c r="AA28" s="6">
        <v>1</v>
      </c>
      <c r="AB28" s="6">
        <v>1</v>
      </c>
      <c r="AC28" s="6">
        <v>5</v>
      </c>
      <c r="AD28" s="12">
        <f t="shared" si="49"/>
        <v>0.2</v>
      </c>
      <c r="AE28" s="28">
        <v>150000</v>
      </c>
      <c r="AF28" s="28">
        <f t="shared" si="50"/>
        <v>30000</v>
      </c>
      <c r="AG28" s="6" t="s">
        <v>212</v>
      </c>
      <c r="AH28" s="6">
        <v>4</v>
      </c>
      <c r="AI28" s="6">
        <v>1</v>
      </c>
      <c r="AJ28" s="6">
        <v>1</v>
      </c>
      <c r="AK28" s="6">
        <v>2</v>
      </c>
      <c r="AL28" s="12">
        <f t="shared" si="51"/>
        <v>0.5</v>
      </c>
      <c r="AM28" s="28">
        <v>600000</v>
      </c>
      <c r="AN28" s="30">
        <f t="shared" si="52"/>
        <v>300000</v>
      </c>
      <c r="AO28" s="30" t="s">
        <v>210</v>
      </c>
      <c r="AP28" s="6">
        <v>1</v>
      </c>
      <c r="AQ28" s="6">
        <v>1</v>
      </c>
      <c r="AR28" s="6">
        <v>1</v>
      </c>
      <c r="AS28" s="6">
        <v>4</v>
      </c>
      <c r="AT28" s="12">
        <f t="shared" si="53"/>
        <v>0.25</v>
      </c>
      <c r="AU28" s="6" t="s">
        <v>208</v>
      </c>
      <c r="AV28" s="28">
        <v>3000000</v>
      </c>
      <c r="AW28" s="28">
        <f t="shared" si="54"/>
        <v>750000</v>
      </c>
      <c r="AX28" s="7" t="s">
        <v>213</v>
      </c>
      <c r="AY28" s="6">
        <v>4</v>
      </c>
      <c r="AZ28" s="28">
        <v>200</v>
      </c>
      <c r="BA28" s="28">
        <v>185</v>
      </c>
      <c r="BB28" s="94">
        <f t="shared" si="55"/>
        <v>-7.5</v>
      </c>
      <c r="BC28" s="31">
        <f t="shared" si="35"/>
        <v>900000</v>
      </c>
      <c r="BD28" s="31">
        <f t="shared" si="36"/>
        <v>2090000</v>
      </c>
      <c r="BE28" s="31">
        <f t="shared" si="56"/>
        <v>132.22222222222223</v>
      </c>
      <c r="BF28" s="6">
        <v>50</v>
      </c>
      <c r="BG28" s="28">
        <v>5000000</v>
      </c>
      <c r="BH28" s="28">
        <v>4300000</v>
      </c>
      <c r="BI28" s="94">
        <f t="shared" si="57"/>
        <v>-14.000000000000002</v>
      </c>
      <c r="BJ28" s="31">
        <f t="shared" si="58"/>
        <v>4100000</v>
      </c>
      <c r="BK28" s="31">
        <f t="shared" si="59"/>
        <v>2210000</v>
      </c>
      <c r="BL28" s="26">
        <f t="shared" si="60"/>
        <v>-1890000</v>
      </c>
      <c r="BM28" s="12">
        <f t="shared" si="61"/>
        <v>-46.09756097560976</v>
      </c>
    </row>
    <row r="29" spans="1:65">
      <c r="A29" s="6" t="s">
        <v>35</v>
      </c>
      <c r="B29" s="7" t="s">
        <v>91</v>
      </c>
      <c r="C29" s="32">
        <v>1</v>
      </c>
      <c r="D29" s="32">
        <v>2</v>
      </c>
      <c r="E29" s="33">
        <f t="shared" si="37"/>
        <v>0.5</v>
      </c>
      <c r="F29" s="6">
        <v>8</v>
      </c>
      <c r="G29" s="6">
        <v>4</v>
      </c>
      <c r="H29" s="6">
        <v>25</v>
      </c>
      <c r="I29" s="28">
        <f t="shared" si="38"/>
        <v>125000</v>
      </c>
      <c r="J29" s="28">
        <v>70000</v>
      </c>
      <c r="K29" s="6">
        <v>2</v>
      </c>
      <c r="L29" s="6">
        <v>8</v>
      </c>
      <c r="M29" s="6">
        <v>4</v>
      </c>
      <c r="N29" s="6">
        <v>27</v>
      </c>
      <c r="O29" s="28">
        <f t="shared" si="62"/>
        <v>135000</v>
      </c>
      <c r="P29" s="28">
        <v>100000</v>
      </c>
      <c r="Q29" s="94">
        <f t="shared" si="39"/>
        <v>0</v>
      </c>
      <c r="R29" s="94">
        <f t="shared" si="40"/>
        <v>0</v>
      </c>
      <c r="S29" s="94">
        <f t="shared" si="41"/>
        <v>2</v>
      </c>
      <c r="T29" s="93">
        <f t="shared" si="42"/>
        <v>10000</v>
      </c>
      <c r="U29" s="28">
        <f t="shared" si="43"/>
        <v>30000</v>
      </c>
      <c r="V29" s="94">
        <f t="shared" si="44"/>
        <v>0</v>
      </c>
      <c r="W29" s="94">
        <f t="shared" si="45"/>
        <v>0</v>
      </c>
      <c r="X29" s="93">
        <f t="shared" si="46"/>
        <v>8</v>
      </c>
      <c r="Y29" s="93">
        <f t="shared" si="47"/>
        <v>8</v>
      </c>
      <c r="Z29" s="93">
        <f t="shared" si="48"/>
        <v>42.857142857142854</v>
      </c>
      <c r="AA29" s="6">
        <v>1</v>
      </c>
      <c r="AB29" s="6">
        <v>1</v>
      </c>
      <c r="AC29" s="6">
        <v>3</v>
      </c>
      <c r="AD29" s="12">
        <f t="shared" si="49"/>
        <v>0.33333333333333331</v>
      </c>
      <c r="AE29" s="28">
        <v>75000</v>
      </c>
      <c r="AF29" s="28">
        <f t="shared" si="50"/>
        <v>25000</v>
      </c>
      <c r="AG29" s="6" t="s">
        <v>212</v>
      </c>
      <c r="AH29" s="6">
        <v>5</v>
      </c>
      <c r="AI29" s="6">
        <v>1</v>
      </c>
      <c r="AJ29" s="6">
        <v>1</v>
      </c>
      <c r="AK29" s="6">
        <v>2</v>
      </c>
      <c r="AL29" s="12">
        <f t="shared" si="51"/>
        <v>0.5</v>
      </c>
      <c r="AM29" s="28">
        <v>300000</v>
      </c>
      <c r="AN29" s="30">
        <f t="shared" si="52"/>
        <v>150000</v>
      </c>
      <c r="AO29" s="30" t="s">
        <v>210</v>
      </c>
      <c r="AP29" s="6">
        <v>1</v>
      </c>
      <c r="AQ29" s="6">
        <v>1</v>
      </c>
      <c r="AR29" s="6">
        <v>1</v>
      </c>
      <c r="AS29" s="6">
        <v>4</v>
      </c>
      <c r="AT29" s="12">
        <f t="shared" si="53"/>
        <v>0.25</v>
      </c>
      <c r="AU29" s="6" t="s">
        <v>208</v>
      </c>
      <c r="AV29" s="28">
        <v>350000</v>
      </c>
      <c r="AW29" s="28">
        <f t="shared" si="54"/>
        <v>87500</v>
      </c>
      <c r="AX29" s="7" t="s">
        <v>213</v>
      </c>
      <c r="AY29" s="6">
        <v>4</v>
      </c>
      <c r="AZ29" s="28">
        <v>400</v>
      </c>
      <c r="BA29" s="28">
        <v>350</v>
      </c>
      <c r="BB29" s="94">
        <f t="shared" si="55"/>
        <v>-12.5</v>
      </c>
      <c r="BC29" s="31">
        <f t="shared" si="35"/>
        <v>195000</v>
      </c>
      <c r="BD29" s="31">
        <f t="shared" si="36"/>
        <v>497500</v>
      </c>
      <c r="BE29" s="31">
        <f>(BD29-BC29)/BC29*100</f>
        <v>155.12820512820514</v>
      </c>
      <c r="BF29" s="6">
        <v>15</v>
      </c>
      <c r="BG29" s="28">
        <v>8000000</v>
      </c>
      <c r="BH29" s="28">
        <v>5600000</v>
      </c>
      <c r="BI29" s="94">
        <f t="shared" si="57"/>
        <v>-30</v>
      </c>
      <c r="BJ29" s="31">
        <f t="shared" si="58"/>
        <v>7805000</v>
      </c>
      <c r="BK29" s="31">
        <f t="shared" si="59"/>
        <v>5102500</v>
      </c>
      <c r="BL29" s="26">
        <f t="shared" si="60"/>
        <v>-2702500</v>
      </c>
      <c r="BM29" s="12">
        <f t="shared" si="61"/>
        <v>-34.625240230621394</v>
      </c>
    </row>
    <row r="30" spans="1:65">
      <c r="A30" s="6" t="s">
        <v>36</v>
      </c>
      <c r="B30" s="7" t="s">
        <v>92</v>
      </c>
      <c r="C30" s="32">
        <v>1</v>
      </c>
      <c r="D30" s="32">
        <v>3</v>
      </c>
      <c r="E30" s="33">
        <f t="shared" si="37"/>
        <v>0.33333333333333331</v>
      </c>
      <c r="F30" s="6">
        <v>5</v>
      </c>
      <c r="G30" s="6">
        <v>3</v>
      </c>
      <c r="H30" s="6">
        <v>15</v>
      </c>
      <c r="I30" s="28">
        <v>110000</v>
      </c>
      <c r="J30" s="28">
        <v>400000</v>
      </c>
      <c r="K30" s="6">
        <v>1</v>
      </c>
      <c r="L30" s="6">
        <v>7</v>
      </c>
      <c r="M30" s="6">
        <v>5</v>
      </c>
      <c r="N30" s="6">
        <v>20</v>
      </c>
      <c r="O30" s="28">
        <v>150000</v>
      </c>
      <c r="P30" s="28">
        <v>500000</v>
      </c>
      <c r="Q30" s="94">
        <f t="shared" si="39"/>
        <v>2</v>
      </c>
      <c r="R30" s="94">
        <f t="shared" si="40"/>
        <v>2</v>
      </c>
      <c r="S30" s="94">
        <f t="shared" si="41"/>
        <v>5</v>
      </c>
      <c r="T30" s="93">
        <f t="shared" si="42"/>
        <v>40000</v>
      </c>
      <c r="U30" s="28">
        <f t="shared" si="43"/>
        <v>100000</v>
      </c>
      <c r="V30" s="94">
        <f t="shared" si="44"/>
        <v>40</v>
      </c>
      <c r="W30" s="94">
        <f t="shared" si="45"/>
        <v>66.666666666666657</v>
      </c>
      <c r="X30" s="93">
        <f t="shared" si="46"/>
        <v>33.333333333333329</v>
      </c>
      <c r="Y30" s="93">
        <f t="shared" si="47"/>
        <v>36.363636363636367</v>
      </c>
      <c r="Z30" s="93">
        <f t="shared" si="48"/>
        <v>25</v>
      </c>
      <c r="AA30" s="6">
        <v>1</v>
      </c>
      <c r="AB30" s="6">
        <v>1</v>
      </c>
      <c r="AC30" s="6">
        <v>4</v>
      </c>
      <c r="AD30" s="12">
        <f t="shared" si="49"/>
        <v>0.25</v>
      </c>
      <c r="AE30" s="28">
        <v>70000</v>
      </c>
      <c r="AF30" s="28">
        <f t="shared" si="50"/>
        <v>17500</v>
      </c>
      <c r="AG30" s="6" t="s">
        <v>212</v>
      </c>
      <c r="AH30" s="6">
        <v>5</v>
      </c>
      <c r="AI30" s="6">
        <v>1</v>
      </c>
      <c r="AJ30" s="6">
        <v>1</v>
      </c>
      <c r="AK30" s="6">
        <v>3</v>
      </c>
      <c r="AL30" s="12">
        <f t="shared" si="51"/>
        <v>0.33333333333333331</v>
      </c>
      <c r="AM30" s="28">
        <v>500000</v>
      </c>
      <c r="AN30" s="30">
        <f t="shared" si="52"/>
        <v>166666.66666666666</v>
      </c>
      <c r="AO30" s="30" t="s">
        <v>210</v>
      </c>
      <c r="AP30" s="6">
        <v>2</v>
      </c>
      <c r="AQ30" s="6">
        <v>1</v>
      </c>
      <c r="AR30" s="6">
        <v>1</v>
      </c>
      <c r="AS30" s="6">
        <v>3</v>
      </c>
      <c r="AT30" s="12">
        <f t="shared" si="53"/>
        <v>0.33333333333333331</v>
      </c>
      <c r="AU30" s="6" t="s">
        <v>208</v>
      </c>
      <c r="AV30" s="28">
        <v>500000</v>
      </c>
      <c r="AW30" s="28">
        <f t="shared" si="54"/>
        <v>166666.66666666666</v>
      </c>
      <c r="AX30" s="7" t="s">
        <v>213</v>
      </c>
      <c r="AY30" s="6">
        <v>5</v>
      </c>
      <c r="AZ30" s="28">
        <v>1000</v>
      </c>
      <c r="BA30" s="28">
        <v>980</v>
      </c>
      <c r="BB30" s="94">
        <f t="shared" si="55"/>
        <v>-2</v>
      </c>
      <c r="BC30" s="31">
        <f t="shared" si="35"/>
        <v>510000</v>
      </c>
      <c r="BD30" s="31">
        <f t="shared" si="36"/>
        <v>1000833.3333333333</v>
      </c>
      <c r="BE30" s="31">
        <f t="shared" si="56"/>
        <v>96.241830065359451</v>
      </c>
      <c r="BF30" s="6">
        <v>20</v>
      </c>
      <c r="BG30" s="28">
        <v>10000000</v>
      </c>
      <c r="BH30" s="28">
        <v>9000000</v>
      </c>
      <c r="BI30" s="94">
        <f t="shared" si="57"/>
        <v>-10</v>
      </c>
      <c r="BJ30" s="31">
        <f t="shared" si="58"/>
        <v>9490000</v>
      </c>
      <c r="BK30" s="31">
        <f t="shared" si="59"/>
        <v>7999166.666666667</v>
      </c>
      <c r="BL30" s="26">
        <f t="shared" si="60"/>
        <v>-1490833.333333333</v>
      </c>
      <c r="BM30" s="12">
        <f t="shared" si="61"/>
        <v>-15.70951879171057</v>
      </c>
    </row>
    <row r="31" spans="1:65">
      <c r="A31" s="6" t="s">
        <v>37</v>
      </c>
      <c r="B31" s="7" t="s">
        <v>93</v>
      </c>
      <c r="C31" s="32">
        <v>1</v>
      </c>
      <c r="D31" s="32">
        <v>4</v>
      </c>
      <c r="E31" s="33">
        <f t="shared" si="37"/>
        <v>0.25</v>
      </c>
      <c r="F31" s="6">
        <v>6</v>
      </c>
      <c r="G31" s="6">
        <v>2</v>
      </c>
      <c r="H31" s="6">
        <v>18</v>
      </c>
      <c r="I31" s="28">
        <f t="shared" si="38"/>
        <v>90000</v>
      </c>
      <c r="J31" s="28">
        <v>200000</v>
      </c>
      <c r="K31" s="6">
        <v>1</v>
      </c>
      <c r="L31" s="6">
        <v>8</v>
      </c>
      <c r="M31" s="6">
        <v>3</v>
      </c>
      <c r="N31" s="6">
        <v>25</v>
      </c>
      <c r="O31" s="28">
        <f t="shared" si="62"/>
        <v>125000</v>
      </c>
      <c r="P31" s="28">
        <v>250000</v>
      </c>
      <c r="Q31" s="94">
        <f t="shared" si="39"/>
        <v>2</v>
      </c>
      <c r="R31" s="94">
        <f t="shared" si="40"/>
        <v>1</v>
      </c>
      <c r="S31" s="94">
        <f t="shared" si="41"/>
        <v>7</v>
      </c>
      <c r="T31" s="93">
        <f t="shared" si="42"/>
        <v>35000</v>
      </c>
      <c r="U31" s="28">
        <f t="shared" si="43"/>
        <v>50000</v>
      </c>
      <c r="V31" s="94">
        <f t="shared" si="44"/>
        <v>33.333333333333329</v>
      </c>
      <c r="W31" s="94">
        <f t="shared" si="45"/>
        <v>50</v>
      </c>
      <c r="X31" s="93">
        <f t="shared" si="46"/>
        <v>38.888888888888893</v>
      </c>
      <c r="Y31" s="93">
        <f t="shared" si="47"/>
        <v>38.888888888888893</v>
      </c>
      <c r="Z31" s="93">
        <f t="shared" si="48"/>
        <v>25</v>
      </c>
      <c r="AA31" s="6">
        <v>1</v>
      </c>
      <c r="AB31" s="6">
        <v>1</v>
      </c>
      <c r="AC31" s="6">
        <v>5</v>
      </c>
      <c r="AD31" s="12">
        <f t="shared" si="49"/>
        <v>0.2</v>
      </c>
      <c r="AE31" s="28">
        <v>50000</v>
      </c>
      <c r="AF31" s="28">
        <f t="shared" si="50"/>
        <v>10000</v>
      </c>
      <c r="AG31" s="6" t="s">
        <v>212</v>
      </c>
      <c r="AH31" s="6">
        <v>4</v>
      </c>
      <c r="AI31" s="6">
        <v>1</v>
      </c>
      <c r="AJ31" s="6">
        <v>1</v>
      </c>
      <c r="AK31" s="6">
        <v>2</v>
      </c>
      <c r="AL31" s="12">
        <f t="shared" si="51"/>
        <v>0.5</v>
      </c>
      <c r="AM31" s="28">
        <v>200000</v>
      </c>
      <c r="AN31" s="30">
        <f t="shared" si="52"/>
        <v>100000</v>
      </c>
      <c r="AO31" s="30" t="s">
        <v>210</v>
      </c>
      <c r="AP31" s="6">
        <v>1</v>
      </c>
      <c r="AQ31" s="6">
        <v>1</v>
      </c>
      <c r="AR31" s="6">
        <v>1</v>
      </c>
      <c r="AS31" s="6">
        <v>2</v>
      </c>
      <c r="AT31" s="12">
        <f t="shared" si="53"/>
        <v>0.5</v>
      </c>
      <c r="AU31" s="6" t="s">
        <v>208</v>
      </c>
      <c r="AV31" s="28">
        <v>450000</v>
      </c>
      <c r="AW31" s="28">
        <f t="shared" si="54"/>
        <v>225000</v>
      </c>
      <c r="AX31" s="7" t="s">
        <v>213</v>
      </c>
      <c r="AY31" s="6">
        <v>5</v>
      </c>
      <c r="AZ31" s="28">
        <v>300</v>
      </c>
      <c r="BA31" s="28">
        <v>280</v>
      </c>
      <c r="BB31" s="94">
        <f t="shared" si="55"/>
        <v>-6.666666666666667</v>
      </c>
      <c r="BC31" s="31">
        <f t="shared" si="35"/>
        <v>290000</v>
      </c>
      <c r="BD31" s="31">
        <f t="shared" si="36"/>
        <v>710000</v>
      </c>
      <c r="BE31" s="31">
        <f t="shared" si="56"/>
        <v>144.82758620689654</v>
      </c>
      <c r="BF31" s="6">
        <v>21</v>
      </c>
      <c r="BG31" s="28">
        <v>8000000</v>
      </c>
      <c r="BH31" s="28">
        <v>7000000</v>
      </c>
      <c r="BI31" s="94">
        <f t="shared" si="57"/>
        <v>-12.5</v>
      </c>
      <c r="BJ31" s="31">
        <f t="shared" si="58"/>
        <v>7710000</v>
      </c>
      <c r="BK31" s="31">
        <f t="shared" si="59"/>
        <v>6290000</v>
      </c>
      <c r="BL31" s="26">
        <f t="shared" si="60"/>
        <v>-1420000</v>
      </c>
      <c r="BM31" s="12">
        <f t="shared" si="61"/>
        <v>-18.417639429312583</v>
      </c>
    </row>
    <row r="32" spans="1:65">
      <c r="A32" s="6" t="s">
        <v>38</v>
      </c>
      <c r="B32" s="7" t="s">
        <v>94</v>
      </c>
      <c r="C32" s="32">
        <v>1</v>
      </c>
      <c r="D32" s="32">
        <v>2</v>
      </c>
      <c r="E32" s="33">
        <f t="shared" si="37"/>
        <v>0.5</v>
      </c>
      <c r="F32" s="6">
        <v>7</v>
      </c>
      <c r="G32" s="6">
        <v>4</v>
      </c>
      <c r="H32" s="6">
        <v>20</v>
      </c>
      <c r="I32" s="28">
        <f t="shared" si="38"/>
        <v>100000</v>
      </c>
      <c r="J32" s="28">
        <v>200000</v>
      </c>
      <c r="K32" s="6">
        <v>2</v>
      </c>
      <c r="L32" s="6">
        <v>7</v>
      </c>
      <c r="M32" s="6">
        <v>4</v>
      </c>
      <c r="N32" s="6">
        <v>25</v>
      </c>
      <c r="O32" s="28">
        <f t="shared" si="62"/>
        <v>125000</v>
      </c>
      <c r="P32" s="28">
        <v>300000</v>
      </c>
      <c r="Q32" s="94">
        <f t="shared" si="39"/>
        <v>0</v>
      </c>
      <c r="R32" s="94">
        <f t="shared" si="40"/>
        <v>0</v>
      </c>
      <c r="S32" s="94">
        <f t="shared" si="41"/>
        <v>5</v>
      </c>
      <c r="T32" s="93">
        <f t="shared" si="42"/>
        <v>25000</v>
      </c>
      <c r="U32" s="28">
        <f t="shared" si="43"/>
        <v>100000</v>
      </c>
      <c r="V32" s="94">
        <f t="shared" si="44"/>
        <v>0</v>
      </c>
      <c r="W32" s="94">
        <f t="shared" si="45"/>
        <v>0</v>
      </c>
      <c r="X32" s="93">
        <f t="shared" si="46"/>
        <v>25</v>
      </c>
      <c r="Y32" s="93">
        <f t="shared" si="47"/>
        <v>25</v>
      </c>
      <c r="Z32" s="93">
        <f t="shared" si="48"/>
        <v>50</v>
      </c>
      <c r="AA32" s="6">
        <v>1</v>
      </c>
      <c r="AB32" s="6">
        <v>1</v>
      </c>
      <c r="AC32" s="6">
        <v>2</v>
      </c>
      <c r="AD32" s="12">
        <f t="shared" si="49"/>
        <v>0.5</v>
      </c>
      <c r="AE32" s="28">
        <v>100000</v>
      </c>
      <c r="AF32" s="28">
        <f t="shared" si="50"/>
        <v>50000</v>
      </c>
      <c r="AG32" s="6" t="s">
        <v>212</v>
      </c>
      <c r="AH32" s="6">
        <v>1</v>
      </c>
      <c r="AI32" s="6">
        <v>1</v>
      </c>
      <c r="AJ32" s="6">
        <v>1</v>
      </c>
      <c r="AK32" s="6">
        <v>4</v>
      </c>
      <c r="AL32" s="12">
        <f t="shared" si="51"/>
        <v>0.25</v>
      </c>
      <c r="AM32" s="28">
        <v>50000</v>
      </c>
      <c r="AN32" s="30">
        <f t="shared" si="52"/>
        <v>12500</v>
      </c>
      <c r="AO32" s="30" t="s">
        <v>210</v>
      </c>
      <c r="AP32" s="6">
        <v>2</v>
      </c>
      <c r="AQ32" s="6">
        <v>1</v>
      </c>
      <c r="AR32" s="6">
        <v>1</v>
      </c>
      <c r="AS32" s="6">
        <v>3</v>
      </c>
      <c r="AT32" s="12">
        <f t="shared" si="53"/>
        <v>0.33333333333333331</v>
      </c>
      <c r="AU32" s="6" t="s">
        <v>208</v>
      </c>
      <c r="AV32" s="28">
        <v>500000</v>
      </c>
      <c r="AW32" s="28">
        <f t="shared" si="54"/>
        <v>166666.66666666666</v>
      </c>
      <c r="AX32" s="7" t="s">
        <v>213</v>
      </c>
      <c r="AY32" s="6">
        <v>6</v>
      </c>
      <c r="AZ32" s="28">
        <v>200</v>
      </c>
      <c r="BA32" s="28">
        <v>150</v>
      </c>
      <c r="BB32" s="94">
        <f t="shared" si="55"/>
        <v>-25</v>
      </c>
      <c r="BC32" s="31">
        <f t="shared" si="35"/>
        <v>300000</v>
      </c>
      <c r="BD32" s="31">
        <f t="shared" si="36"/>
        <v>654166.66666666663</v>
      </c>
      <c r="BE32" s="31">
        <f t="shared" si="56"/>
        <v>118.05555555555554</v>
      </c>
      <c r="BF32" s="6">
        <v>43</v>
      </c>
      <c r="BG32" s="28">
        <v>5000000</v>
      </c>
      <c r="BH32" s="28">
        <v>3000000</v>
      </c>
      <c r="BI32" s="94">
        <f t="shared" si="57"/>
        <v>-40</v>
      </c>
      <c r="BJ32" s="31">
        <f t="shared" si="58"/>
        <v>4700000</v>
      </c>
      <c r="BK32" s="31">
        <f t="shared" si="59"/>
        <v>2345833.3333333335</v>
      </c>
      <c r="BL32" s="26">
        <f t="shared" si="60"/>
        <v>-2354166.6666666665</v>
      </c>
      <c r="BM32" s="12">
        <f t="shared" si="61"/>
        <v>-50.088652482269502</v>
      </c>
    </row>
    <row r="33" spans="1:65">
      <c r="A33" s="6" t="s">
        <v>39</v>
      </c>
      <c r="B33" s="7" t="s">
        <v>95</v>
      </c>
      <c r="C33" s="32">
        <v>1</v>
      </c>
      <c r="D33" s="32">
        <v>3</v>
      </c>
      <c r="E33" s="33">
        <f t="shared" si="37"/>
        <v>0.33333333333333331</v>
      </c>
      <c r="F33" s="6">
        <v>6</v>
      </c>
      <c r="G33" s="6">
        <v>3.5</v>
      </c>
      <c r="H33" s="6">
        <v>12</v>
      </c>
      <c r="I33" s="28">
        <f t="shared" si="38"/>
        <v>60000</v>
      </c>
      <c r="J33" s="28">
        <v>200000</v>
      </c>
      <c r="K33" s="6">
        <v>1</v>
      </c>
      <c r="L33" s="6">
        <v>6.5</v>
      </c>
      <c r="M33" s="6">
        <v>4</v>
      </c>
      <c r="N33" s="6">
        <v>20</v>
      </c>
      <c r="O33" s="28">
        <f t="shared" si="62"/>
        <v>100000</v>
      </c>
      <c r="P33" s="28">
        <v>280000</v>
      </c>
      <c r="Q33" s="94">
        <f t="shared" si="39"/>
        <v>0.5</v>
      </c>
      <c r="R33" s="94">
        <f t="shared" si="40"/>
        <v>0.5</v>
      </c>
      <c r="S33" s="94">
        <f t="shared" si="41"/>
        <v>8</v>
      </c>
      <c r="T33" s="93">
        <f t="shared" si="42"/>
        <v>40000</v>
      </c>
      <c r="U33" s="28">
        <f t="shared" si="43"/>
        <v>80000</v>
      </c>
      <c r="V33" s="94">
        <f t="shared" si="44"/>
        <v>8.3333333333333321</v>
      </c>
      <c r="W33" s="94">
        <f t="shared" si="45"/>
        <v>14.285714285714285</v>
      </c>
      <c r="X33" s="93">
        <f t="shared" si="46"/>
        <v>66.666666666666657</v>
      </c>
      <c r="Y33" s="93">
        <f t="shared" si="47"/>
        <v>66.666666666666657</v>
      </c>
      <c r="Z33" s="93">
        <f t="shared" si="48"/>
        <v>40</v>
      </c>
      <c r="AA33" s="6">
        <v>1</v>
      </c>
      <c r="AB33" s="6">
        <v>1</v>
      </c>
      <c r="AC33" s="6">
        <v>4</v>
      </c>
      <c r="AD33" s="12">
        <f t="shared" si="49"/>
        <v>0.25</v>
      </c>
      <c r="AE33" s="28">
        <v>180000</v>
      </c>
      <c r="AF33" s="28">
        <f t="shared" si="50"/>
        <v>45000</v>
      </c>
      <c r="AG33" s="6" t="s">
        <v>212</v>
      </c>
      <c r="AH33" s="6">
        <v>5</v>
      </c>
      <c r="AI33" s="6">
        <v>1</v>
      </c>
      <c r="AJ33" s="6">
        <v>1</v>
      </c>
      <c r="AK33" s="6">
        <v>2</v>
      </c>
      <c r="AL33" s="12">
        <f t="shared" si="51"/>
        <v>0.5</v>
      </c>
      <c r="AM33" s="28">
        <v>1000000</v>
      </c>
      <c r="AN33" s="30">
        <f t="shared" si="52"/>
        <v>500000</v>
      </c>
      <c r="AO33" s="30" t="s">
        <v>210</v>
      </c>
      <c r="AP33" s="6">
        <v>2</v>
      </c>
      <c r="AQ33" s="6">
        <v>1</v>
      </c>
      <c r="AR33" s="6">
        <v>1</v>
      </c>
      <c r="AS33" s="6">
        <v>2</v>
      </c>
      <c r="AT33" s="12">
        <f t="shared" si="53"/>
        <v>0.5</v>
      </c>
      <c r="AU33" s="6" t="s">
        <v>208</v>
      </c>
      <c r="AV33" s="28">
        <v>1000000</v>
      </c>
      <c r="AW33" s="28">
        <f t="shared" si="54"/>
        <v>500000</v>
      </c>
      <c r="AX33" s="7" t="s">
        <v>213</v>
      </c>
      <c r="AY33" s="6">
        <v>4</v>
      </c>
      <c r="AZ33" s="28">
        <v>200</v>
      </c>
      <c r="BA33" s="28">
        <v>150</v>
      </c>
      <c r="BB33" s="94">
        <f t="shared" si="55"/>
        <v>-25</v>
      </c>
      <c r="BC33" s="31">
        <f t="shared" si="35"/>
        <v>260000</v>
      </c>
      <c r="BD33" s="31">
        <f t="shared" si="36"/>
        <v>1425000</v>
      </c>
      <c r="BE33" s="31">
        <f t="shared" si="56"/>
        <v>448.07692307692309</v>
      </c>
      <c r="BF33" s="6">
        <v>40</v>
      </c>
      <c r="BG33" s="28">
        <v>5200000</v>
      </c>
      <c r="BH33" s="28">
        <v>4000000</v>
      </c>
      <c r="BI33" s="94">
        <f t="shared" si="57"/>
        <v>-23.076923076923077</v>
      </c>
      <c r="BJ33" s="31">
        <f t="shared" si="58"/>
        <v>4940000</v>
      </c>
      <c r="BK33" s="31">
        <f t="shared" si="59"/>
        <v>2575000</v>
      </c>
      <c r="BL33" s="26">
        <f t="shared" si="60"/>
        <v>-2365000</v>
      </c>
      <c r="BM33" s="12">
        <f t="shared" si="61"/>
        <v>-47.874493927125506</v>
      </c>
    </row>
    <row r="34" spans="1:65">
      <c r="A34" s="6" t="s">
        <v>40</v>
      </c>
      <c r="B34" s="7" t="s">
        <v>97</v>
      </c>
      <c r="C34" s="32">
        <v>1</v>
      </c>
      <c r="D34" s="32">
        <v>2</v>
      </c>
      <c r="E34" s="33">
        <f t="shared" si="37"/>
        <v>0.5</v>
      </c>
      <c r="F34" s="6">
        <v>7</v>
      </c>
      <c r="G34" s="6">
        <v>3</v>
      </c>
      <c r="H34" s="6">
        <v>18</v>
      </c>
      <c r="I34" s="28">
        <f t="shared" si="38"/>
        <v>90000</v>
      </c>
      <c r="J34" s="28">
        <v>180000</v>
      </c>
      <c r="K34" s="6">
        <v>1</v>
      </c>
      <c r="L34" s="6">
        <v>7.5</v>
      </c>
      <c r="M34" s="6">
        <v>3</v>
      </c>
      <c r="N34" s="6">
        <v>25</v>
      </c>
      <c r="O34" s="28">
        <f t="shared" si="62"/>
        <v>125000</v>
      </c>
      <c r="P34" s="28">
        <v>200000</v>
      </c>
      <c r="Q34" s="94">
        <f t="shared" si="39"/>
        <v>0.5</v>
      </c>
      <c r="R34" s="94">
        <f t="shared" si="40"/>
        <v>0</v>
      </c>
      <c r="S34" s="94">
        <f t="shared" si="41"/>
        <v>7</v>
      </c>
      <c r="T34" s="93">
        <f t="shared" si="42"/>
        <v>35000</v>
      </c>
      <c r="U34" s="28">
        <f t="shared" si="43"/>
        <v>20000</v>
      </c>
      <c r="V34" s="94">
        <f t="shared" si="44"/>
        <v>7.1428571428571423</v>
      </c>
      <c r="W34" s="94">
        <f t="shared" si="45"/>
        <v>0</v>
      </c>
      <c r="X34" s="93">
        <f t="shared" si="46"/>
        <v>38.888888888888893</v>
      </c>
      <c r="Y34" s="93">
        <f t="shared" si="47"/>
        <v>38.888888888888893</v>
      </c>
      <c r="Z34" s="93">
        <f t="shared" si="48"/>
        <v>11.111111111111111</v>
      </c>
      <c r="AA34" s="6">
        <v>1</v>
      </c>
      <c r="AB34" s="6">
        <v>1</v>
      </c>
      <c r="AC34" s="6">
        <v>2</v>
      </c>
      <c r="AD34" s="12">
        <f t="shared" si="49"/>
        <v>0.5</v>
      </c>
      <c r="AE34" s="28">
        <v>60000</v>
      </c>
      <c r="AF34" s="28">
        <f t="shared" si="50"/>
        <v>30000</v>
      </c>
      <c r="AG34" s="6" t="s">
        <v>212</v>
      </c>
      <c r="AH34" s="6">
        <v>6</v>
      </c>
      <c r="AI34" s="6">
        <v>1</v>
      </c>
      <c r="AJ34" s="6">
        <v>1</v>
      </c>
      <c r="AK34" s="6">
        <v>2</v>
      </c>
      <c r="AL34" s="12">
        <f t="shared" si="51"/>
        <v>0.5</v>
      </c>
      <c r="AM34" s="28">
        <v>200000</v>
      </c>
      <c r="AN34" s="30">
        <f t="shared" si="52"/>
        <v>100000</v>
      </c>
      <c r="AO34" s="30" t="s">
        <v>210</v>
      </c>
      <c r="AP34" s="6">
        <v>1</v>
      </c>
      <c r="AQ34" s="6">
        <v>1</v>
      </c>
      <c r="AR34" s="6">
        <v>1</v>
      </c>
      <c r="AS34" s="6">
        <v>4</v>
      </c>
      <c r="AT34" s="12">
        <f t="shared" si="53"/>
        <v>0.25</v>
      </c>
      <c r="AU34" s="6" t="s">
        <v>208</v>
      </c>
      <c r="AV34" s="28">
        <v>350000</v>
      </c>
      <c r="AW34" s="28">
        <f t="shared" si="54"/>
        <v>87500</v>
      </c>
      <c r="AX34" s="7" t="s">
        <v>213</v>
      </c>
      <c r="AY34" s="6">
        <v>4</v>
      </c>
      <c r="AZ34" s="28">
        <v>300</v>
      </c>
      <c r="BA34" s="28">
        <v>280</v>
      </c>
      <c r="BB34" s="94">
        <f t="shared" si="55"/>
        <v>-6.666666666666667</v>
      </c>
      <c r="BC34" s="31">
        <f t="shared" si="35"/>
        <v>270000</v>
      </c>
      <c r="BD34" s="31">
        <f t="shared" si="36"/>
        <v>542500</v>
      </c>
      <c r="BE34" s="31">
        <f t="shared" si="56"/>
        <v>100.92592592592592</v>
      </c>
      <c r="BF34" s="6">
        <v>10</v>
      </c>
      <c r="BG34" s="28">
        <v>5000000</v>
      </c>
      <c r="BH34" s="28">
        <v>4500000</v>
      </c>
      <c r="BI34" s="94">
        <f t="shared" si="57"/>
        <v>-10</v>
      </c>
      <c r="BJ34" s="31">
        <f t="shared" si="58"/>
        <v>4730000</v>
      </c>
      <c r="BK34" s="31">
        <f t="shared" si="59"/>
        <v>3957500</v>
      </c>
      <c r="BL34" s="26">
        <f t="shared" si="60"/>
        <v>-772500</v>
      </c>
      <c r="BM34" s="12">
        <f t="shared" si="61"/>
        <v>-16.331923890063425</v>
      </c>
    </row>
    <row r="35" spans="1:65">
      <c r="A35" s="207"/>
      <c r="B35" s="46" t="s">
        <v>196</v>
      </c>
      <c r="C35" s="35"/>
      <c r="D35" s="83">
        <f>_xlfn.MODE.SNGL(D25:D34)</f>
        <v>3</v>
      </c>
      <c r="E35" s="82">
        <f>_xlfn.MODE.SNGL(E25:E34)</f>
        <v>0.33333333333333331</v>
      </c>
      <c r="F35" s="82">
        <f t="shared" ref="F35:K35" si="63">_xlfn.MODE.SNGL(F25:F34)</f>
        <v>5</v>
      </c>
      <c r="G35" s="82">
        <f t="shared" si="63"/>
        <v>3</v>
      </c>
      <c r="H35" s="82">
        <f t="shared" si="63"/>
        <v>20</v>
      </c>
      <c r="I35" s="82">
        <f t="shared" si="63"/>
        <v>100000</v>
      </c>
      <c r="J35" s="82">
        <f t="shared" si="63"/>
        <v>200000</v>
      </c>
      <c r="K35" s="82">
        <f t="shared" si="63"/>
        <v>1</v>
      </c>
      <c r="L35" s="82">
        <f t="shared" ref="L35:U35" si="64">_xlfn.MODE.SNGL(L25:L34)</f>
        <v>7</v>
      </c>
      <c r="M35" s="82">
        <f t="shared" si="64"/>
        <v>3</v>
      </c>
      <c r="N35" s="82">
        <f t="shared" si="64"/>
        <v>20</v>
      </c>
      <c r="O35" s="82">
        <f t="shared" si="64"/>
        <v>125000</v>
      </c>
      <c r="P35" s="82">
        <f t="shared" si="64"/>
        <v>300000</v>
      </c>
      <c r="Q35" s="82">
        <f t="shared" si="64"/>
        <v>0.5</v>
      </c>
      <c r="R35" s="95">
        <f t="shared" si="64"/>
        <v>0</v>
      </c>
      <c r="S35" s="82">
        <f t="shared" si="64"/>
        <v>2</v>
      </c>
      <c r="T35" s="82">
        <f t="shared" si="64"/>
        <v>10000</v>
      </c>
      <c r="U35" s="82">
        <f t="shared" si="64"/>
        <v>100000</v>
      </c>
      <c r="V35" s="35"/>
      <c r="W35" s="35"/>
      <c r="X35" s="35"/>
      <c r="Y35" s="35"/>
      <c r="Z35" s="35"/>
      <c r="AA35" s="96">
        <f>_xlfn.MODE.SNGL(AA25:AA34)</f>
        <v>1</v>
      </c>
      <c r="AB35" s="35"/>
      <c r="AC35" s="35"/>
      <c r="AD35" s="35"/>
      <c r="AE35" s="35"/>
      <c r="AF35" s="35"/>
      <c r="AG35" s="35"/>
      <c r="AH35" s="35"/>
      <c r="AI35" s="35"/>
      <c r="AJ35" s="35"/>
      <c r="AK35" s="84">
        <f>_xlfn.MODE.SNGL(AK25:AK34)</f>
        <v>2</v>
      </c>
      <c r="AL35" s="35"/>
      <c r="AM35" s="35"/>
      <c r="AN35" s="35"/>
      <c r="AO35" s="35"/>
      <c r="AP35" s="97">
        <f>_xlfn.MODE.SNGL(AP25:AP34)</f>
        <v>1</v>
      </c>
      <c r="AQ35" s="35"/>
      <c r="AR35" s="35"/>
      <c r="AS35" s="84">
        <f>_xlfn.MODE.SNGL(AS25:AS34)</f>
        <v>2</v>
      </c>
      <c r="AT35" s="35"/>
      <c r="AU35" s="35"/>
      <c r="AV35" s="35"/>
      <c r="AW35" s="35"/>
      <c r="AX35" s="35"/>
      <c r="AY35" s="35"/>
      <c r="AZ35" s="35"/>
      <c r="BA35" s="35"/>
      <c r="BB35" s="35"/>
      <c r="BC35" s="35"/>
      <c r="BD35" s="35"/>
      <c r="BE35" s="35"/>
      <c r="BF35" s="35"/>
      <c r="BG35" s="35"/>
      <c r="BH35" s="35"/>
      <c r="BI35" s="35"/>
      <c r="BJ35" s="35"/>
      <c r="BK35" s="35"/>
      <c r="BL35" s="35"/>
      <c r="BM35" s="35"/>
    </row>
    <row r="36" spans="1:65" s="114" customFormat="1">
      <c r="A36" s="208"/>
      <c r="B36" s="46" t="s">
        <v>141</v>
      </c>
      <c r="C36" s="35"/>
      <c r="D36" s="83">
        <f t="shared" ref="D36:K36" si="65">AVERAGE(D25:D34)</f>
        <v>3</v>
      </c>
      <c r="E36" s="83">
        <f t="shared" si="65"/>
        <v>0.35833333333333334</v>
      </c>
      <c r="F36" s="83">
        <f t="shared" si="65"/>
        <v>5.9</v>
      </c>
      <c r="G36" s="83">
        <f t="shared" si="65"/>
        <v>3</v>
      </c>
      <c r="H36" s="83">
        <f t="shared" si="65"/>
        <v>17.3</v>
      </c>
      <c r="I36" s="48">
        <f t="shared" si="65"/>
        <v>90000</v>
      </c>
      <c r="J36" s="52">
        <f t="shared" si="65"/>
        <v>293000</v>
      </c>
      <c r="K36" s="83">
        <f t="shared" si="65"/>
        <v>1.4</v>
      </c>
      <c r="L36" s="83">
        <f t="shared" ref="L36:AA36" si="66">AVERAGE(L25:L34)</f>
        <v>6.85</v>
      </c>
      <c r="M36" s="83">
        <f t="shared" si="66"/>
        <v>3.6</v>
      </c>
      <c r="N36" s="83">
        <f t="shared" si="66"/>
        <v>22.9</v>
      </c>
      <c r="O36" s="52">
        <f t="shared" si="66"/>
        <v>119500</v>
      </c>
      <c r="P36" s="52">
        <f t="shared" si="66"/>
        <v>368000</v>
      </c>
      <c r="Q36" s="52">
        <f t="shared" si="66"/>
        <v>0.95</v>
      </c>
      <c r="R36" s="52">
        <f t="shared" si="66"/>
        <v>0.6</v>
      </c>
      <c r="S36" s="52">
        <f t="shared" si="66"/>
        <v>5.6</v>
      </c>
      <c r="T36" s="52">
        <f t="shared" si="66"/>
        <v>29500</v>
      </c>
      <c r="U36" s="52">
        <f t="shared" si="66"/>
        <v>75000</v>
      </c>
      <c r="V36" s="52">
        <f t="shared" si="66"/>
        <v>19.38095238095238</v>
      </c>
      <c r="W36" s="52">
        <f t="shared" si="66"/>
        <v>25.095238095238095</v>
      </c>
      <c r="X36" s="52">
        <f t="shared" si="66"/>
        <v>38.077777777777769</v>
      </c>
      <c r="Y36" s="52">
        <f t="shared" si="66"/>
        <v>38.38080808080808</v>
      </c>
      <c r="Z36" s="52">
        <f t="shared" si="66"/>
        <v>29.694444444444439</v>
      </c>
      <c r="AA36" s="52">
        <f t="shared" si="66"/>
        <v>1</v>
      </c>
      <c r="AB36" s="35"/>
      <c r="AC36" s="84">
        <f>AVERAGE(AC25:AC34)</f>
        <v>3.6</v>
      </c>
      <c r="AD36" s="83">
        <f>AVERAGE(AD25:AD34)</f>
        <v>0.30666666666666664</v>
      </c>
      <c r="AE36" s="52">
        <f>AVERAGE(AE25:AE34)</f>
        <v>353500</v>
      </c>
      <c r="AF36" s="82">
        <f>AVERAGE(AF25:AF34)</f>
        <v>92416.666666666657</v>
      </c>
      <c r="AG36" s="35"/>
      <c r="AH36" s="35"/>
      <c r="AI36" s="35"/>
      <c r="AJ36" s="35"/>
      <c r="AK36" s="84">
        <f>AVERAGE(AK25:AK34)</f>
        <v>2.5</v>
      </c>
      <c r="AL36" s="52">
        <f>AVERAGE(AL25:AL34)</f>
        <v>0.42499999999999999</v>
      </c>
      <c r="AM36" s="52">
        <f>AVERAGE(AM25:AM34)</f>
        <v>725000</v>
      </c>
      <c r="AN36" s="41">
        <f>AVERAGE(AN25:AN34)</f>
        <v>329583.33333333331</v>
      </c>
      <c r="AO36" s="49"/>
      <c r="AP36" s="97"/>
      <c r="AQ36" s="35"/>
      <c r="AR36" s="35"/>
      <c r="AS36" s="46">
        <f>AVERAGE(AS25:AS34)</f>
        <v>2.9</v>
      </c>
      <c r="AT36" s="83">
        <f>AVERAGE(AT25:AT34)</f>
        <v>0.375</v>
      </c>
      <c r="AU36" s="35"/>
      <c r="AV36" s="51">
        <f>AVERAGE(AV25:AV34)</f>
        <v>675000</v>
      </c>
      <c r="AW36" s="51">
        <f>AVERAGE(AW25:AW34)</f>
        <v>225000</v>
      </c>
      <c r="AX36" s="35"/>
      <c r="AY36" s="35"/>
      <c r="AZ36" s="51">
        <f t="shared" ref="AZ36:BE36" si="67">AVERAGE(AZ25:AZ34)</f>
        <v>380</v>
      </c>
      <c r="BA36" s="51">
        <f t="shared" si="67"/>
        <v>324.5</v>
      </c>
      <c r="BB36" s="85">
        <f t="shared" si="67"/>
        <v>-17.533333333333335</v>
      </c>
      <c r="BC36" s="44">
        <f t="shared" si="67"/>
        <v>383000</v>
      </c>
      <c r="BD36" s="44">
        <f t="shared" si="67"/>
        <v>1134499.9999999998</v>
      </c>
      <c r="BE36" s="51">
        <f>AVERAGE(BE25:BE35)</f>
        <v>212.50590664238774</v>
      </c>
      <c r="BF36" s="83">
        <f>AVEDEV(BF25:BF34)</f>
        <v>15.48</v>
      </c>
      <c r="BG36" s="52">
        <f t="shared" ref="BG36:BK36" si="68">AVEDEV(BG25:BG34)</f>
        <v>2120000</v>
      </c>
      <c r="BH36" s="52">
        <f t="shared" si="68"/>
        <v>1834000</v>
      </c>
      <c r="BI36" s="95">
        <f>AVERAGE(BI25:BI34)</f>
        <v>-18.699830672472181</v>
      </c>
      <c r="BJ36" s="52">
        <f t="shared" si="68"/>
        <v>2147400</v>
      </c>
      <c r="BK36" s="52">
        <f t="shared" si="68"/>
        <v>2160600</v>
      </c>
      <c r="BL36" s="52">
        <f>AVERAGE(BL25:BL34)</f>
        <v>-1991500</v>
      </c>
      <c r="BM36" s="83">
        <f>AVERAGE(BM25:BM34)</f>
        <v>-34.600876813400923</v>
      </c>
    </row>
    <row r="37" spans="1:65">
      <c r="A37" s="208"/>
      <c r="B37" s="46" t="s">
        <v>345</v>
      </c>
      <c r="C37" s="35"/>
      <c r="D37" s="83">
        <f t="shared" ref="D37:K37" si="69">STDEV(D25:D34)</f>
        <v>0.81649658092772603</v>
      </c>
      <c r="E37" s="83">
        <f t="shared" si="69"/>
        <v>0.10430546308621437</v>
      </c>
      <c r="F37" s="83">
        <f t="shared" si="69"/>
        <v>1.1972189997378637</v>
      </c>
      <c r="G37" s="83">
        <f t="shared" si="69"/>
        <v>0.70710678118654757</v>
      </c>
      <c r="H37" s="82">
        <f t="shared" si="69"/>
        <v>4.3982319680121957</v>
      </c>
      <c r="I37" s="82">
        <f t="shared" si="69"/>
        <v>22730.302828309759</v>
      </c>
      <c r="J37" s="82">
        <f t="shared" si="69"/>
        <v>199223.4925906079</v>
      </c>
      <c r="K37" s="82">
        <f t="shared" si="69"/>
        <v>0.51639777949432208</v>
      </c>
      <c r="L37" s="82">
        <f t="shared" ref="L37:AA37" si="70">STDEV(L25:L34)</f>
        <v>0.85146931829631856</v>
      </c>
      <c r="M37" s="82">
        <f t="shared" si="70"/>
        <v>0.69920589878010153</v>
      </c>
      <c r="N37" s="82">
        <f t="shared" si="70"/>
        <v>2.6012817353502151</v>
      </c>
      <c r="O37" s="82">
        <f t="shared" si="70"/>
        <v>16064.107680028654</v>
      </c>
      <c r="P37" s="82">
        <f t="shared" si="70"/>
        <v>223398.00058788946</v>
      </c>
      <c r="Q37" s="82">
        <f t="shared" si="70"/>
        <v>1.0394977419675118</v>
      </c>
      <c r="R37" s="82">
        <f t="shared" si="70"/>
        <v>0.80966385343274128</v>
      </c>
      <c r="S37" s="82">
        <f t="shared" si="70"/>
        <v>2.547329756605706</v>
      </c>
      <c r="T37" s="82">
        <f t="shared" si="70"/>
        <v>13218.2533725989</v>
      </c>
      <c r="U37" s="82">
        <f t="shared" si="70"/>
        <v>54619.898693913136</v>
      </c>
      <c r="V37" s="82">
        <f t="shared" si="70"/>
        <v>24.037847037516542</v>
      </c>
      <c r="W37" s="82">
        <f t="shared" si="70"/>
        <v>35.356621769448594</v>
      </c>
      <c r="X37" s="82">
        <f t="shared" si="70"/>
        <v>27.62863914419637</v>
      </c>
      <c r="Y37" s="82">
        <f t="shared" si="70"/>
        <v>27.587407680352371</v>
      </c>
      <c r="Z37" s="82">
        <f t="shared" si="70"/>
        <v>19.499526506344029</v>
      </c>
      <c r="AA37" s="95">
        <f t="shared" si="70"/>
        <v>0</v>
      </c>
      <c r="AB37" s="35"/>
      <c r="AC37" s="83">
        <f>STDEV(AC25:AC34)</f>
        <v>1.0749676997731401</v>
      </c>
      <c r="AD37" s="83">
        <f t="shared" ref="AD37:AF37" si="71">STDEV(AD25:AD34)</f>
        <v>0.11144394593884295</v>
      </c>
      <c r="AE37" s="83">
        <f t="shared" si="71"/>
        <v>621324.97311972117</v>
      </c>
      <c r="AF37" s="82">
        <f t="shared" si="71"/>
        <v>153559.841755584</v>
      </c>
      <c r="AG37" s="35"/>
      <c r="AH37" s="35"/>
      <c r="AI37" s="35"/>
      <c r="AJ37" s="35"/>
      <c r="AK37" s="83">
        <f>STDEV(AK25:AK34)</f>
        <v>0.70710678118654757</v>
      </c>
      <c r="AL37" s="83">
        <f t="shared" ref="AL37:AN37" si="72">STDEV(AL25:AL34)</f>
        <v>9.9768249978155407E-2</v>
      </c>
      <c r="AM37" s="82">
        <f t="shared" si="72"/>
        <v>861926.13759339415</v>
      </c>
      <c r="AN37" s="82">
        <f t="shared" si="72"/>
        <v>435005.89785983315</v>
      </c>
      <c r="AO37" s="49"/>
      <c r="AP37" s="97"/>
      <c r="AQ37" s="35"/>
      <c r="AR37" s="35"/>
      <c r="AS37" s="35"/>
      <c r="AT37" s="83">
        <f>STDEV(AT25:AT34)</f>
        <v>0.11283386673105508</v>
      </c>
      <c r="AU37" s="35"/>
      <c r="AV37" s="51">
        <f>STDEV(AV25:AV34)</f>
        <v>850898.21822458762</v>
      </c>
      <c r="AW37" s="51">
        <f>STDEV(AW25:AW34)</f>
        <v>224459.22668592722</v>
      </c>
      <c r="AX37" s="35"/>
      <c r="AY37" s="35"/>
      <c r="AZ37" s="51">
        <f t="shared" ref="AZ37:BE37" si="73">STDEV(AZ25:AZ34)</f>
        <v>285.96814119369623</v>
      </c>
      <c r="BA37" s="51">
        <f t="shared" si="73"/>
        <v>271.37970529213203</v>
      </c>
      <c r="BB37" s="51">
        <f t="shared" si="73"/>
        <v>12.161921956623974</v>
      </c>
      <c r="BC37" s="51">
        <f t="shared" si="73"/>
        <v>201207.46617470347</v>
      </c>
      <c r="BD37" s="51">
        <f t="shared" si="73"/>
        <v>694087.48603587807</v>
      </c>
      <c r="BE37" s="51">
        <f>STDEV(BE25:BE35)</f>
        <v>178.18319607457457</v>
      </c>
      <c r="BF37" s="51">
        <f t="shared" ref="BF37:BH37" si="74">STDEV(BF25:BF34)</f>
        <v>17.544863129196028</v>
      </c>
      <c r="BG37" s="51">
        <f t="shared" si="74"/>
        <v>2536511.1647475334</v>
      </c>
      <c r="BH37" s="51">
        <f t="shared" si="74"/>
        <v>2315863.1700129053</v>
      </c>
      <c r="BI37" s="52">
        <f>STDEV(BI25:BI34)</f>
        <v>9.9805018892481954</v>
      </c>
      <c r="BJ37" s="52">
        <f>STDEV(BJ25:BJ34)</f>
        <v>2549866.2274279757</v>
      </c>
      <c r="BK37" s="52">
        <f>STDEV(BK25:BK34)</f>
        <v>2614784.5377798043</v>
      </c>
      <c r="BL37" s="52">
        <f t="shared" ref="BL37:BM37" si="75">STDEV(BL25:BL34)</f>
        <v>615132.19998370192</v>
      </c>
      <c r="BM37" s="52">
        <f t="shared" si="75"/>
        <v>15.900697469462797</v>
      </c>
    </row>
    <row r="38" spans="1:65">
      <c r="A38" s="208"/>
      <c r="B38" s="46" t="s">
        <v>197</v>
      </c>
      <c r="C38" s="35"/>
      <c r="D38" s="84">
        <f>COUNTIF(D25:D34,"2")/10*100</f>
        <v>30</v>
      </c>
      <c r="E38" s="35"/>
      <c r="F38" s="35"/>
      <c r="G38" s="35"/>
      <c r="H38" s="35"/>
      <c r="I38" s="35"/>
      <c r="J38" s="35"/>
      <c r="K38" s="84">
        <f>COUNTIF(K25:K34,"1")/10*100</f>
        <v>60</v>
      </c>
      <c r="L38" s="35"/>
      <c r="M38" s="35"/>
      <c r="N38" s="35"/>
      <c r="O38" s="35"/>
      <c r="P38" s="35"/>
      <c r="Q38" s="35"/>
      <c r="R38" s="35"/>
      <c r="S38" s="35"/>
      <c r="T38" s="35"/>
      <c r="U38" s="35"/>
      <c r="V38" s="35"/>
      <c r="W38" s="35"/>
      <c r="X38" s="35"/>
      <c r="Y38" s="35"/>
      <c r="Z38" s="35"/>
      <c r="AA38" s="84">
        <f>COUNTIF(AA25:AA34,"1")/10*100</f>
        <v>100</v>
      </c>
      <c r="AB38" s="35"/>
      <c r="AC38" s="84">
        <f>COUNTIF(AC25:AC34,"2")/10*100</f>
        <v>20</v>
      </c>
      <c r="AD38" s="35"/>
      <c r="AE38" s="35"/>
      <c r="AF38" s="35"/>
      <c r="AG38" s="36">
        <f>COUNTIF(AG25:AG34,"Patah")/10*100</f>
        <v>100</v>
      </c>
      <c r="AH38" s="36">
        <f>COUNTIF(AH25:AH34,"1")/10*100</f>
        <v>30</v>
      </c>
      <c r="AI38" s="36">
        <f>COUNTIF(AI25:AI34,"1")/10*100</f>
        <v>100</v>
      </c>
      <c r="AJ38" s="35"/>
      <c r="AK38" s="84">
        <f xml:space="preserve"> COUNTIF(AK25:AK34,"2")/10*100</f>
        <v>60</v>
      </c>
      <c r="AL38" s="35"/>
      <c r="AM38" s="44"/>
      <c r="AN38" s="35"/>
      <c r="AO38" s="49">
        <f>COUNTIF(AO25:AO34,"Tersumbat")/10*100</f>
        <v>100</v>
      </c>
      <c r="AP38" s="84">
        <f>COUNTIF(AP25:AP34,"1")/10*100</f>
        <v>60</v>
      </c>
      <c r="AQ38" s="36">
        <f>COUNTIF(AQ25:AQ34,"1")/10*100</f>
        <v>100</v>
      </c>
      <c r="AR38" s="35"/>
      <c r="AS38" s="36">
        <f>COUNTIF(AS25:AS34,"2")/10*100</f>
        <v>40</v>
      </c>
      <c r="AT38" s="35"/>
      <c r="AU38" s="84">
        <f>COUNTIF(AU25:AU34,"Jaring")/10*100</f>
        <v>100</v>
      </c>
      <c r="AV38" s="35"/>
      <c r="AW38" s="35"/>
      <c r="AX38" s="36">
        <f>COUNTIF(AX25:AX34,"Tersangkut/robek")/10*100</f>
        <v>100</v>
      </c>
      <c r="AY38" s="36">
        <f>COUNTIF(AY25:AY34,"1")/10*100</f>
        <v>10</v>
      </c>
      <c r="AZ38" s="35"/>
      <c r="BA38" s="35"/>
      <c r="BB38" s="35"/>
      <c r="BC38" s="35"/>
      <c r="BD38" s="35"/>
      <c r="BE38" s="35"/>
      <c r="BF38" s="35"/>
      <c r="BG38" s="35"/>
      <c r="BH38" s="35"/>
      <c r="BI38" s="35"/>
      <c r="BJ38" s="35"/>
      <c r="BK38" s="35"/>
      <c r="BL38" s="35"/>
      <c r="BM38" s="35"/>
    </row>
    <row r="39" spans="1:65">
      <c r="A39" s="208"/>
      <c r="B39" s="46"/>
      <c r="C39" s="35"/>
      <c r="D39" s="84">
        <f>COUNTIF(D25:D34,"3")/10*100</f>
        <v>40</v>
      </c>
      <c r="E39" s="35"/>
      <c r="F39" s="35"/>
      <c r="G39" s="35"/>
      <c r="H39" s="35"/>
      <c r="I39" s="35"/>
      <c r="J39" s="35"/>
      <c r="K39" s="84">
        <f>COUNTIF(K25:K34,"2")/10*100</f>
        <v>40</v>
      </c>
      <c r="L39" s="35"/>
      <c r="M39" s="35"/>
      <c r="N39" s="35"/>
      <c r="O39" s="35"/>
      <c r="P39" s="35"/>
      <c r="Q39" s="35"/>
      <c r="R39" s="35"/>
      <c r="S39" s="35"/>
      <c r="T39" s="35"/>
      <c r="U39" s="35"/>
      <c r="V39" s="35"/>
      <c r="W39" s="35"/>
      <c r="X39" s="35"/>
      <c r="Y39" s="35"/>
      <c r="Z39" s="35"/>
      <c r="AA39" s="35"/>
      <c r="AB39" s="35"/>
      <c r="AC39" s="84">
        <f>COUNTIF(AC25:AC34,"3")/10*100</f>
        <v>20</v>
      </c>
      <c r="AD39" s="35"/>
      <c r="AE39" s="35"/>
      <c r="AF39" s="35"/>
      <c r="AG39" s="35"/>
      <c r="AH39" s="36">
        <f>COUNTIF(AH25:AH34,"2")/10*100</f>
        <v>0</v>
      </c>
      <c r="AI39" s="35"/>
      <c r="AJ39" s="35"/>
      <c r="AK39" s="84">
        <f xml:space="preserve"> COUNTIF(AK25:AK34,"3")/10*100</f>
        <v>30</v>
      </c>
      <c r="AL39" s="35"/>
      <c r="AM39" s="35"/>
      <c r="AN39" s="35"/>
      <c r="AO39" s="35"/>
      <c r="AP39" s="84">
        <f>COUNTIF(AP25:AP34,"2")/10*100</f>
        <v>40</v>
      </c>
      <c r="AQ39" s="35"/>
      <c r="AR39" s="35"/>
      <c r="AS39" s="36">
        <f>COUNTIF(AS25:AS34,"3")/10*100</f>
        <v>30</v>
      </c>
      <c r="AT39" s="35"/>
      <c r="AU39" s="35"/>
      <c r="AV39" s="35"/>
      <c r="AW39" s="35"/>
      <c r="AX39" s="36"/>
      <c r="AY39" s="36">
        <f>COUNTIF(AY25:AY34,"2")/10*100</f>
        <v>0</v>
      </c>
      <c r="AZ39" s="35"/>
      <c r="BA39" s="35"/>
      <c r="BB39" s="35"/>
      <c r="BC39" s="35"/>
      <c r="BD39" s="35"/>
      <c r="BE39" s="35"/>
      <c r="BF39" s="35"/>
      <c r="BG39" s="35"/>
      <c r="BH39" s="35"/>
      <c r="BI39" s="35"/>
      <c r="BJ39" s="35"/>
      <c r="BK39" s="35"/>
      <c r="BL39" s="35"/>
      <c r="BM39" s="35"/>
    </row>
    <row r="40" spans="1:65">
      <c r="A40" s="208"/>
      <c r="B40" s="46"/>
      <c r="C40" s="35"/>
      <c r="D40" s="84">
        <f>COUNTIF(D25:D34,"4")/10*100</f>
        <v>30</v>
      </c>
      <c r="E40" s="35"/>
      <c r="F40" s="35"/>
      <c r="G40" s="35"/>
      <c r="H40" s="35"/>
      <c r="I40" s="35"/>
      <c r="J40" s="35"/>
      <c r="K40" s="35"/>
      <c r="L40" s="35"/>
      <c r="M40" s="35"/>
      <c r="N40" s="35"/>
      <c r="O40" s="35"/>
      <c r="P40" s="35"/>
      <c r="Q40" s="35"/>
      <c r="R40" s="35"/>
      <c r="S40" s="35"/>
      <c r="T40" s="35"/>
      <c r="U40" s="35"/>
      <c r="V40" s="35"/>
      <c r="W40" s="35"/>
      <c r="X40" s="35"/>
      <c r="Y40" s="35"/>
      <c r="Z40" s="35"/>
      <c r="AA40" s="35"/>
      <c r="AB40" s="35"/>
      <c r="AC40" s="84">
        <f>COUNTIF(AC25:AC34,"4")/10*100</f>
        <v>40</v>
      </c>
      <c r="AD40" s="35"/>
      <c r="AE40" s="35"/>
      <c r="AF40" s="35"/>
      <c r="AG40" s="35"/>
      <c r="AH40" s="36">
        <f>COUNTIF(AH25:AH34,"3")/10*100</f>
        <v>0</v>
      </c>
      <c r="AI40" s="35"/>
      <c r="AJ40" s="35"/>
      <c r="AK40" s="84">
        <f xml:space="preserve"> COUNTIF(AK25:AK34,"4")/10*100</f>
        <v>10</v>
      </c>
      <c r="AL40" s="35"/>
      <c r="AM40" s="35"/>
      <c r="AN40" s="35"/>
      <c r="AO40" s="35"/>
      <c r="AP40" s="98">
        <f>COUNTIF(AP25:AP34,"3")/10*100</f>
        <v>0</v>
      </c>
      <c r="AQ40" s="35"/>
      <c r="AR40" s="35"/>
      <c r="AS40" s="36">
        <f>COUNTIF(AS25:AS34,"4")/10*100</f>
        <v>30</v>
      </c>
      <c r="AT40" s="35"/>
      <c r="AU40" s="35"/>
      <c r="AV40" s="35"/>
      <c r="AW40" s="35"/>
      <c r="AX40" s="35"/>
      <c r="AY40" s="36">
        <f>COUNTIF(AY25:AY34,"3")/10*100</f>
        <v>0</v>
      </c>
      <c r="AZ40" s="35"/>
      <c r="BA40" s="35"/>
      <c r="BB40" s="35"/>
      <c r="BC40" s="35"/>
      <c r="BD40" s="35"/>
      <c r="BE40" s="35"/>
      <c r="BF40" s="35"/>
      <c r="BG40" s="35"/>
      <c r="BH40" s="35"/>
      <c r="BI40" s="35"/>
      <c r="BJ40" s="35"/>
      <c r="BK40" s="35"/>
      <c r="BL40" s="35"/>
      <c r="BM40" s="35"/>
    </row>
    <row r="41" spans="1:65">
      <c r="A41" s="208"/>
      <c r="B41" s="46"/>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84">
        <f>COUNTIF(AC25:AC34,"5")/10*100</f>
        <v>20</v>
      </c>
      <c r="AD41" s="35"/>
      <c r="AE41" s="35"/>
      <c r="AF41" s="35"/>
      <c r="AG41" s="35"/>
      <c r="AH41" s="36">
        <f>COUNTIF(AH25:AH34,"4")/10*100</f>
        <v>30</v>
      </c>
      <c r="AI41" s="35"/>
      <c r="AJ41" s="35"/>
      <c r="AK41" s="35"/>
      <c r="AL41" s="35"/>
      <c r="AM41" s="35"/>
      <c r="AN41" s="35"/>
      <c r="AO41" s="35"/>
      <c r="AP41" s="98">
        <f>COUNTIF(AP25:AP34,"4")/10*100</f>
        <v>0</v>
      </c>
      <c r="AQ41" s="35"/>
      <c r="AR41" s="35"/>
      <c r="AS41" s="35"/>
      <c r="AT41" s="35"/>
      <c r="AU41" s="35"/>
      <c r="AV41" s="35"/>
      <c r="AW41" s="35"/>
      <c r="AX41" s="35"/>
      <c r="AY41" s="36">
        <f>COUNTIF(AY25:AY34,"4")/10*100</f>
        <v>50</v>
      </c>
      <c r="AZ41" s="35"/>
      <c r="BA41" s="35"/>
      <c r="BB41" s="35"/>
      <c r="BC41" s="35"/>
      <c r="BD41" s="35"/>
      <c r="BE41" s="35"/>
      <c r="BF41" s="35"/>
      <c r="BG41" s="35"/>
      <c r="BH41" s="35"/>
      <c r="BI41" s="35"/>
      <c r="BJ41" s="35"/>
      <c r="BK41" s="35"/>
      <c r="BL41" s="35"/>
      <c r="BM41" s="35"/>
    </row>
    <row r="42" spans="1:65">
      <c r="A42" s="208"/>
      <c r="B42" s="46"/>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6"/>
      <c r="AD42" s="35"/>
      <c r="AE42" s="35"/>
      <c r="AF42" s="35"/>
      <c r="AG42" s="35"/>
      <c r="AH42" s="36">
        <f>COUNTIF(AH25:AH34,"5")/10*100</f>
        <v>30</v>
      </c>
      <c r="AI42" s="35"/>
      <c r="AJ42" s="35"/>
      <c r="AK42" s="35"/>
      <c r="AL42" s="35"/>
      <c r="AM42" s="35"/>
      <c r="AN42" s="35"/>
      <c r="AO42" s="35"/>
      <c r="AP42" s="98">
        <f>COUNTIF(AP25:AP34,"5")/10*100</f>
        <v>0</v>
      </c>
      <c r="AQ42" s="35"/>
      <c r="AR42" s="35"/>
      <c r="AS42" s="35"/>
      <c r="AT42" s="35"/>
      <c r="AU42" s="35"/>
      <c r="AV42" s="35"/>
      <c r="AW42" s="35"/>
      <c r="AX42" s="35"/>
      <c r="AY42" s="36">
        <f>COUNTIF(AY25:AY34,"5")/10*100</f>
        <v>30</v>
      </c>
      <c r="AZ42" s="35"/>
      <c r="BA42" s="35"/>
      <c r="BB42" s="35"/>
      <c r="BC42" s="35"/>
      <c r="BD42" s="35"/>
      <c r="BE42" s="35"/>
      <c r="BF42" s="35"/>
      <c r="BG42" s="35"/>
      <c r="BH42" s="35"/>
      <c r="BI42" s="35"/>
      <c r="BJ42" s="35"/>
      <c r="BK42" s="35"/>
      <c r="BL42" s="35"/>
      <c r="BM42" s="35"/>
    </row>
    <row r="43" spans="1:65">
      <c r="A43" s="208"/>
      <c r="B43" s="46"/>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6"/>
      <c r="AD43" s="35"/>
      <c r="AE43" s="35"/>
      <c r="AF43" s="35"/>
      <c r="AG43" s="35"/>
      <c r="AH43" s="36">
        <f>COUNTIF(AH25:AH34,"6")/10*100</f>
        <v>10</v>
      </c>
      <c r="AI43" s="35"/>
      <c r="AJ43" s="35"/>
      <c r="AK43" s="35"/>
      <c r="AL43" s="35"/>
      <c r="AM43" s="35"/>
      <c r="AN43" s="35"/>
      <c r="AO43" s="35"/>
      <c r="AP43" s="98">
        <f>COUNTIF(AP25:AP34,"6")/10*100</f>
        <v>0</v>
      </c>
      <c r="AQ43" s="35"/>
      <c r="AR43" s="35"/>
      <c r="AS43" s="35"/>
      <c r="AT43" s="35"/>
      <c r="AU43" s="35"/>
      <c r="AV43" s="35"/>
      <c r="AW43" s="35"/>
      <c r="AX43" s="35"/>
      <c r="AY43" s="36">
        <f>COUNTIF(AY25:AY34,"6")/10*100</f>
        <v>10</v>
      </c>
      <c r="AZ43" s="35"/>
      <c r="BA43" s="35"/>
      <c r="BB43" s="35"/>
      <c r="BC43" s="35"/>
      <c r="BD43" s="35"/>
      <c r="BE43" s="35"/>
      <c r="BF43" s="35"/>
      <c r="BG43" s="35"/>
      <c r="BH43" s="35"/>
      <c r="BI43" s="35"/>
      <c r="BJ43" s="35"/>
      <c r="BK43" s="35"/>
      <c r="BL43" s="35"/>
      <c r="BM43" s="35"/>
    </row>
    <row r="44" spans="1:65" s="114" customFormat="1">
      <c r="A44" s="209"/>
      <c r="B44" s="46"/>
      <c r="C44" s="35"/>
      <c r="D44" s="113"/>
      <c r="E44" s="113"/>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row>
    <row r="45" spans="1:65">
      <c r="A45" s="6" t="s">
        <v>41</v>
      </c>
      <c r="B45" s="7" t="s">
        <v>98</v>
      </c>
      <c r="C45" s="6">
        <v>1</v>
      </c>
      <c r="D45" s="6">
        <v>2</v>
      </c>
      <c r="E45" s="12">
        <f>C45/D45</f>
        <v>0.5</v>
      </c>
      <c r="F45" s="6">
        <v>26</v>
      </c>
      <c r="G45" s="6">
        <v>2.5</v>
      </c>
      <c r="H45" s="6">
        <v>28</v>
      </c>
      <c r="I45" s="34">
        <f>5000*H45</f>
        <v>140000</v>
      </c>
      <c r="J45" s="34">
        <v>850000</v>
      </c>
      <c r="K45" s="6">
        <v>2</v>
      </c>
      <c r="L45" s="6">
        <v>30</v>
      </c>
      <c r="M45" s="6">
        <v>3</v>
      </c>
      <c r="N45" s="6">
        <v>30</v>
      </c>
      <c r="O45" s="107">
        <f>5000*N45</f>
        <v>150000</v>
      </c>
      <c r="P45" s="107">
        <v>920000</v>
      </c>
      <c r="Q45" s="6">
        <f>L45-F45</f>
        <v>4</v>
      </c>
      <c r="R45" s="6">
        <f>M45-G45</f>
        <v>0.5</v>
      </c>
      <c r="S45" s="6">
        <f>N45-H45</f>
        <v>2</v>
      </c>
      <c r="T45" s="107">
        <f>O45-I45</f>
        <v>10000</v>
      </c>
      <c r="U45" s="26">
        <f>P45-J45</f>
        <v>70000</v>
      </c>
      <c r="V45" s="108">
        <f>Q45/F45*100</f>
        <v>15.384615384615385</v>
      </c>
      <c r="W45" s="108">
        <f>R45/G45*100</f>
        <v>20</v>
      </c>
      <c r="X45" s="108">
        <f>S45/H45*100</f>
        <v>7.1428571428571423</v>
      </c>
      <c r="Y45" s="108">
        <f>T45/I45*100</f>
        <v>7.1428571428571423</v>
      </c>
      <c r="Z45" s="108">
        <f>U45/J45*100</f>
        <v>8.235294117647058</v>
      </c>
      <c r="AA45" s="6">
        <v>1</v>
      </c>
      <c r="AB45" s="6">
        <v>1</v>
      </c>
      <c r="AC45" s="6">
        <v>2</v>
      </c>
      <c r="AD45" s="12">
        <f>AB45/AC45</f>
        <v>0.5</v>
      </c>
      <c r="AE45" s="28">
        <v>300000</v>
      </c>
      <c r="AF45" s="28">
        <f>AD45*AE45</f>
        <v>150000</v>
      </c>
      <c r="AG45" s="6" t="s">
        <v>212</v>
      </c>
      <c r="AH45" s="6">
        <v>4</v>
      </c>
      <c r="AI45" s="6">
        <v>1</v>
      </c>
      <c r="AJ45" s="6">
        <v>1</v>
      </c>
      <c r="AK45" s="6">
        <v>2</v>
      </c>
      <c r="AL45" s="12">
        <f>AJ45/AK45</f>
        <v>0.5</v>
      </c>
      <c r="AM45" s="28">
        <v>550000</v>
      </c>
      <c r="AN45" s="30">
        <f>AL45*AM45</f>
        <v>275000</v>
      </c>
      <c r="AO45" s="7" t="s">
        <v>210</v>
      </c>
      <c r="AP45" s="6">
        <v>1</v>
      </c>
      <c r="AQ45" s="6">
        <v>1</v>
      </c>
      <c r="AR45" s="6">
        <v>1</v>
      </c>
      <c r="AS45" s="6">
        <v>2</v>
      </c>
      <c r="AT45" s="12">
        <f>AR45/AS45</f>
        <v>0.5</v>
      </c>
      <c r="AU45" s="6" t="s">
        <v>208</v>
      </c>
      <c r="AV45" s="28">
        <v>350000</v>
      </c>
      <c r="AW45" s="30">
        <f>AT45*AV45</f>
        <v>175000</v>
      </c>
      <c r="AX45" s="7" t="s">
        <v>213</v>
      </c>
      <c r="AY45" s="6">
        <v>4</v>
      </c>
      <c r="AZ45" s="110">
        <v>250</v>
      </c>
      <c r="BA45" s="110">
        <v>200</v>
      </c>
      <c r="BB45" s="111">
        <f>(BA45-AZ45)/AZ45*100</f>
        <v>-20</v>
      </c>
      <c r="BC45" s="31">
        <f>I45+J45</f>
        <v>990000</v>
      </c>
      <c r="BD45" s="30">
        <f>O45+P45+AF45+AN45+AW45</f>
        <v>1670000</v>
      </c>
      <c r="BE45" s="31">
        <f>(BD45-BC45)/BC45*100</f>
        <v>68.686868686868678</v>
      </c>
      <c r="BF45" s="6">
        <v>30</v>
      </c>
      <c r="BG45" s="28">
        <v>7000000</v>
      </c>
      <c r="BH45" s="28">
        <v>6200000</v>
      </c>
      <c r="BI45" s="106">
        <f>(BH45-BG45)/BG45*100</f>
        <v>-11.428571428571429</v>
      </c>
      <c r="BJ45" s="31">
        <f>BG45-BC45</f>
        <v>6010000</v>
      </c>
      <c r="BK45" s="31">
        <f>BH45-BD45</f>
        <v>4530000</v>
      </c>
      <c r="BL45" s="31">
        <f>BK45-BJ45</f>
        <v>-1480000</v>
      </c>
      <c r="BM45" s="12">
        <f>BL45/BJ45*100</f>
        <v>-24.625623960066555</v>
      </c>
    </row>
    <row r="46" spans="1:65">
      <c r="A46" s="6" t="s">
        <v>42</v>
      </c>
      <c r="B46" s="7" t="s">
        <v>99</v>
      </c>
      <c r="C46" s="6">
        <v>1</v>
      </c>
      <c r="D46" s="6">
        <v>2</v>
      </c>
      <c r="E46" s="12">
        <f t="shared" ref="E46:E54" si="76">C46/D46</f>
        <v>0.5</v>
      </c>
      <c r="F46" s="6">
        <v>25</v>
      </c>
      <c r="G46" s="6">
        <v>4</v>
      </c>
      <c r="H46" s="6">
        <v>20</v>
      </c>
      <c r="I46" s="34">
        <f t="shared" ref="I46:I54" si="77">5000*H46</f>
        <v>100000</v>
      </c>
      <c r="J46" s="34">
        <v>500000</v>
      </c>
      <c r="K46" s="6">
        <v>2</v>
      </c>
      <c r="L46" s="6">
        <v>28</v>
      </c>
      <c r="M46" s="6">
        <v>4.5</v>
      </c>
      <c r="N46" s="6">
        <v>25</v>
      </c>
      <c r="O46" s="107">
        <f t="shared" ref="O46:O54" si="78">5000*N46</f>
        <v>125000</v>
      </c>
      <c r="P46" s="107">
        <v>570000</v>
      </c>
      <c r="Q46" s="6">
        <f t="shared" ref="Q46:Q54" si="79">L46-F46</f>
        <v>3</v>
      </c>
      <c r="R46" s="6">
        <f t="shared" ref="R46:R54" si="80">M46-G46</f>
        <v>0.5</v>
      </c>
      <c r="S46" s="6">
        <f t="shared" ref="S46:S54" si="81">N46-H46</f>
        <v>5</v>
      </c>
      <c r="T46" s="107">
        <f t="shared" ref="T46:T54" si="82">O46-I46</f>
        <v>25000</v>
      </c>
      <c r="U46" s="26">
        <f t="shared" ref="U46:U54" si="83">P46-J46</f>
        <v>70000</v>
      </c>
      <c r="V46" s="108">
        <f t="shared" ref="V46:V54" si="84">Q46/F46*100</f>
        <v>12</v>
      </c>
      <c r="W46" s="108">
        <f t="shared" ref="W46:W54" si="85">R46/G46*100</f>
        <v>12.5</v>
      </c>
      <c r="X46" s="108">
        <f t="shared" ref="X46:X54" si="86">S46/H46*100</f>
        <v>25</v>
      </c>
      <c r="Y46" s="108">
        <f t="shared" ref="Y46:Y54" si="87">T46/I46*100</f>
        <v>25</v>
      </c>
      <c r="Z46" s="108">
        <f t="shared" ref="Z46:Z54" si="88">U46/J46*100</f>
        <v>14.000000000000002</v>
      </c>
      <c r="AA46" s="6">
        <v>1</v>
      </c>
      <c r="AB46" s="6">
        <v>1</v>
      </c>
      <c r="AC46" s="6">
        <v>1</v>
      </c>
      <c r="AD46" s="12">
        <f t="shared" ref="AD46:AD54" si="89">AB46/AC46</f>
        <v>1</v>
      </c>
      <c r="AE46" s="28">
        <v>70000</v>
      </c>
      <c r="AF46" s="28">
        <f t="shared" ref="AF46:AF54" si="90">AD46*AE46</f>
        <v>70000</v>
      </c>
      <c r="AG46" s="6" t="s">
        <v>212</v>
      </c>
      <c r="AH46" s="6">
        <v>4</v>
      </c>
      <c r="AI46" s="6">
        <v>1</v>
      </c>
      <c r="AJ46" s="6">
        <v>1</v>
      </c>
      <c r="AK46" s="6">
        <v>1</v>
      </c>
      <c r="AL46" s="12">
        <f t="shared" ref="AL46:AL54" si="91">AJ46/AK46</f>
        <v>1</v>
      </c>
      <c r="AM46" s="28">
        <v>400000</v>
      </c>
      <c r="AN46" s="30">
        <f t="shared" ref="AN46:AN54" si="92">AL46*AM46</f>
        <v>400000</v>
      </c>
      <c r="AO46" s="7" t="s">
        <v>210</v>
      </c>
      <c r="AP46" s="6">
        <v>2</v>
      </c>
      <c r="AQ46" s="6">
        <v>1</v>
      </c>
      <c r="AR46" s="6">
        <v>1</v>
      </c>
      <c r="AS46" s="6">
        <v>2</v>
      </c>
      <c r="AT46" s="12">
        <f t="shared" ref="AT46:AT54" si="93">AR46/AS46</f>
        <v>0.5</v>
      </c>
      <c r="AU46" s="6" t="s">
        <v>208</v>
      </c>
      <c r="AV46" s="28">
        <v>200000</v>
      </c>
      <c r="AW46" s="30">
        <f t="shared" ref="AW46:AW54" si="94">AT46*AV46</f>
        <v>100000</v>
      </c>
      <c r="AX46" s="7" t="s">
        <v>213</v>
      </c>
      <c r="AY46" s="6">
        <v>4</v>
      </c>
      <c r="AZ46" s="110">
        <v>1000</v>
      </c>
      <c r="BA46" s="110">
        <v>960</v>
      </c>
      <c r="BB46" s="111">
        <f t="shared" ref="BB46:BB54" si="95">(BA46-AZ46)/AZ46*100</f>
        <v>-4</v>
      </c>
      <c r="BC46" s="31">
        <f t="shared" ref="BC46:BC54" si="96">I46+J46</f>
        <v>600000</v>
      </c>
      <c r="BD46" s="30">
        <f t="shared" ref="BD46:BD54" si="97">O46+P46+AF46+AN46+AW46</f>
        <v>1265000</v>
      </c>
      <c r="BE46" s="31">
        <f t="shared" ref="BE46:BE54" si="98">(BD46-BC46)/BC46*100</f>
        <v>110.83333333333334</v>
      </c>
      <c r="BF46" s="6">
        <v>10</v>
      </c>
      <c r="BG46" s="28">
        <v>5000000</v>
      </c>
      <c r="BH46" s="28">
        <v>4000000</v>
      </c>
      <c r="BI46" s="106">
        <f t="shared" ref="BI46:BI54" si="99">(BH46-BG46)/BG46*100</f>
        <v>-20</v>
      </c>
      <c r="BJ46" s="31">
        <f>BG46-BC46</f>
        <v>4400000</v>
      </c>
      <c r="BK46" s="31">
        <f t="shared" ref="BK46:BK54" si="100">BH46-BD46</f>
        <v>2735000</v>
      </c>
      <c r="BL46" s="31">
        <f t="shared" ref="BL46:BL54" si="101">BK46-BJ46</f>
        <v>-1665000</v>
      </c>
      <c r="BM46" s="12">
        <f t="shared" ref="BM46:BM54" si="102">BL46/BJ46*100</f>
        <v>-37.840909090909093</v>
      </c>
    </row>
    <row r="47" spans="1:65">
      <c r="A47" s="6" t="s">
        <v>43</v>
      </c>
      <c r="B47" s="7" t="s">
        <v>101</v>
      </c>
      <c r="C47" s="6">
        <v>1</v>
      </c>
      <c r="D47" s="6">
        <v>1</v>
      </c>
      <c r="E47" s="12">
        <f t="shared" si="76"/>
        <v>1</v>
      </c>
      <c r="F47" s="6">
        <v>20</v>
      </c>
      <c r="G47" s="6">
        <v>3</v>
      </c>
      <c r="H47" s="6">
        <v>22</v>
      </c>
      <c r="I47" s="34">
        <f t="shared" si="77"/>
        <v>110000</v>
      </c>
      <c r="J47" s="34">
        <v>450000</v>
      </c>
      <c r="K47" s="6">
        <v>2</v>
      </c>
      <c r="L47" s="6">
        <v>28</v>
      </c>
      <c r="M47" s="6">
        <v>3.8</v>
      </c>
      <c r="N47" s="6">
        <v>24</v>
      </c>
      <c r="O47" s="107">
        <f t="shared" si="78"/>
        <v>120000</v>
      </c>
      <c r="P47" s="107">
        <v>600000</v>
      </c>
      <c r="Q47" s="6">
        <f t="shared" si="79"/>
        <v>8</v>
      </c>
      <c r="R47" s="6">
        <f t="shared" si="80"/>
        <v>0.79999999999999982</v>
      </c>
      <c r="S47" s="6">
        <f t="shared" si="81"/>
        <v>2</v>
      </c>
      <c r="T47" s="107">
        <f t="shared" si="82"/>
        <v>10000</v>
      </c>
      <c r="U47" s="26">
        <f t="shared" si="83"/>
        <v>150000</v>
      </c>
      <c r="V47" s="108">
        <f t="shared" si="84"/>
        <v>40</v>
      </c>
      <c r="W47" s="108">
        <f t="shared" si="85"/>
        <v>26.666666666666661</v>
      </c>
      <c r="X47" s="108">
        <f t="shared" si="86"/>
        <v>9.0909090909090917</v>
      </c>
      <c r="Y47" s="108">
        <f t="shared" si="87"/>
        <v>9.0909090909090917</v>
      </c>
      <c r="Z47" s="108">
        <f t="shared" si="88"/>
        <v>33.333333333333329</v>
      </c>
      <c r="AA47" s="6">
        <v>1</v>
      </c>
      <c r="AB47" s="6">
        <v>1</v>
      </c>
      <c r="AC47" s="6">
        <v>4</v>
      </c>
      <c r="AD47" s="12">
        <f t="shared" si="89"/>
        <v>0.25</v>
      </c>
      <c r="AE47" s="28">
        <v>75000</v>
      </c>
      <c r="AF47" s="28">
        <f t="shared" si="90"/>
        <v>18750</v>
      </c>
      <c r="AG47" s="6" t="s">
        <v>212</v>
      </c>
      <c r="AH47" s="6">
        <v>5</v>
      </c>
      <c r="AI47" s="6">
        <v>1</v>
      </c>
      <c r="AJ47" s="6">
        <v>1</v>
      </c>
      <c r="AK47" s="6">
        <v>1</v>
      </c>
      <c r="AL47" s="12">
        <f t="shared" si="91"/>
        <v>1</v>
      </c>
      <c r="AM47" s="28">
        <v>700000</v>
      </c>
      <c r="AN47" s="30">
        <f t="shared" si="92"/>
        <v>700000</v>
      </c>
      <c r="AO47" s="7" t="s">
        <v>210</v>
      </c>
      <c r="AP47" s="6">
        <v>2</v>
      </c>
      <c r="AQ47" s="6">
        <v>1</v>
      </c>
      <c r="AR47" s="6">
        <v>1</v>
      </c>
      <c r="AS47" s="6">
        <v>1</v>
      </c>
      <c r="AT47" s="12">
        <f t="shared" si="93"/>
        <v>1</v>
      </c>
      <c r="AU47" s="6" t="s">
        <v>208</v>
      </c>
      <c r="AV47" s="28">
        <v>400000</v>
      </c>
      <c r="AW47" s="30">
        <f t="shared" si="94"/>
        <v>400000</v>
      </c>
      <c r="AX47" s="7" t="s">
        <v>213</v>
      </c>
      <c r="AY47" s="6">
        <v>5</v>
      </c>
      <c r="AZ47" s="110">
        <v>300</v>
      </c>
      <c r="BA47" s="110">
        <v>200</v>
      </c>
      <c r="BB47" s="111">
        <f t="shared" si="95"/>
        <v>-33.333333333333329</v>
      </c>
      <c r="BC47" s="31">
        <f t="shared" si="96"/>
        <v>560000</v>
      </c>
      <c r="BD47" s="30">
        <f t="shared" si="97"/>
        <v>1838750</v>
      </c>
      <c r="BE47" s="31">
        <f t="shared" si="98"/>
        <v>228.34821428571428</v>
      </c>
      <c r="BF47" s="6">
        <v>10</v>
      </c>
      <c r="BG47" s="28">
        <v>10000000</v>
      </c>
      <c r="BH47" s="28">
        <v>9000000</v>
      </c>
      <c r="BI47" s="106">
        <f t="shared" si="99"/>
        <v>-10</v>
      </c>
      <c r="BJ47" s="31">
        <f t="shared" ref="BJ47:BJ54" si="103">BG47-BC47</f>
        <v>9440000</v>
      </c>
      <c r="BK47" s="31">
        <f t="shared" si="100"/>
        <v>7161250</v>
      </c>
      <c r="BL47" s="31">
        <f t="shared" si="101"/>
        <v>-2278750</v>
      </c>
      <c r="BM47" s="12">
        <f t="shared" si="102"/>
        <v>-24.139300847457626</v>
      </c>
    </row>
    <row r="48" spans="1:65">
      <c r="A48" s="6" t="s">
        <v>44</v>
      </c>
      <c r="B48" s="7" t="s">
        <v>103</v>
      </c>
      <c r="C48" s="6">
        <v>1</v>
      </c>
      <c r="D48" s="6">
        <v>2</v>
      </c>
      <c r="E48" s="12">
        <f t="shared" si="76"/>
        <v>0.5</v>
      </c>
      <c r="F48" s="6">
        <v>25</v>
      </c>
      <c r="G48" s="6">
        <v>2.5</v>
      </c>
      <c r="H48" s="6">
        <v>20</v>
      </c>
      <c r="I48" s="34">
        <f t="shared" si="77"/>
        <v>100000</v>
      </c>
      <c r="J48" s="34">
        <v>600000</v>
      </c>
      <c r="K48" s="6">
        <v>1</v>
      </c>
      <c r="L48" s="6">
        <v>34</v>
      </c>
      <c r="M48" s="6">
        <v>3</v>
      </c>
      <c r="N48" s="6">
        <v>26</v>
      </c>
      <c r="O48" s="107">
        <f t="shared" si="78"/>
        <v>130000</v>
      </c>
      <c r="P48" s="107">
        <v>680000</v>
      </c>
      <c r="Q48" s="6">
        <f t="shared" si="79"/>
        <v>9</v>
      </c>
      <c r="R48" s="6">
        <f t="shared" si="80"/>
        <v>0.5</v>
      </c>
      <c r="S48" s="6">
        <f t="shared" si="81"/>
        <v>6</v>
      </c>
      <c r="T48" s="107">
        <f t="shared" si="82"/>
        <v>30000</v>
      </c>
      <c r="U48" s="26">
        <f t="shared" si="83"/>
        <v>80000</v>
      </c>
      <c r="V48" s="108">
        <f t="shared" si="84"/>
        <v>36</v>
      </c>
      <c r="W48" s="108">
        <f t="shared" si="85"/>
        <v>20</v>
      </c>
      <c r="X48" s="108">
        <f t="shared" si="86"/>
        <v>30</v>
      </c>
      <c r="Y48" s="108">
        <f t="shared" si="87"/>
        <v>30</v>
      </c>
      <c r="Z48" s="108">
        <f t="shared" si="88"/>
        <v>13.333333333333334</v>
      </c>
      <c r="AA48" s="6">
        <v>1</v>
      </c>
      <c r="AB48" s="6">
        <v>1</v>
      </c>
      <c r="AC48" s="6">
        <v>1</v>
      </c>
      <c r="AD48" s="12">
        <f t="shared" si="89"/>
        <v>1</v>
      </c>
      <c r="AE48" s="28">
        <v>120000</v>
      </c>
      <c r="AF48" s="28">
        <f t="shared" si="90"/>
        <v>120000</v>
      </c>
      <c r="AG48" s="6" t="s">
        <v>212</v>
      </c>
      <c r="AH48" s="6">
        <v>5</v>
      </c>
      <c r="AI48" s="6">
        <v>1</v>
      </c>
      <c r="AJ48" s="6">
        <v>1</v>
      </c>
      <c r="AK48" s="6">
        <v>2</v>
      </c>
      <c r="AL48" s="12">
        <f t="shared" si="91"/>
        <v>0.5</v>
      </c>
      <c r="AM48" s="28">
        <v>500000</v>
      </c>
      <c r="AN48" s="30">
        <f t="shared" si="92"/>
        <v>250000</v>
      </c>
      <c r="AO48" s="7" t="s">
        <v>210</v>
      </c>
      <c r="AP48" s="6">
        <v>1</v>
      </c>
      <c r="AQ48" s="6">
        <v>1</v>
      </c>
      <c r="AR48" s="6">
        <v>1</v>
      </c>
      <c r="AS48" s="6">
        <v>3</v>
      </c>
      <c r="AT48" s="12">
        <f t="shared" si="93"/>
        <v>0.33333333333333331</v>
      </c>
      <c r="AU48" s="6" t="s">
        <v>208</v>
      </c>
      <c r="AV48" s="28">
        <v>1500000</v>
      </c>
      <c r="AW48" s="30">
        <f t="shared" si="94"/>
        <v>500000</v>
      </c>
      <c r="AX48" s="7" t="s">
        <v>213</v>
      </c>
      <c r="AY48" s="6">
        <v>6</v>
      </c>
      <c r="AZ48" s="110">
        <v>150</v>
      </c>
      <c r="BA48" s="110">
        <v>110</v>
      </c>
      <c r="BB48" s="111">
        <f t="shared" si="95"/>
        <v>-26.666666666666668</v>
      </c>
      <c r="BC48" s="31">
        <f t="shared" si="96"/>
        <v>700000</v>
      </c>
      <c r="BD48" s="30">
        <f t="shared" si="97"/>
        <v>1680000</v>
      </c>
      <c r="BE48" s="31">
        <f t="shared" si="98"/>
        <v>140</v>
      </c>
      <c r="BF48" s="6">
        <v>10</v>
      </c>
      <c r="BG48" s="28">
        <v>9500000</v>
      </c>
      <c r="BH48" s="28">
        <v>8000000</v>
      </c>
      <c r="BI48" s="106">
        <f t="shared" si="99"/>
        <v>-15.789473684210526</v>
      </c>
      <c r="BJ48" s="31">
        <f t="shared" si="103"/>
        <v>8800000</v>
      </c>
      <c r="BK48" s="31">
        <f t="shared" si="100"/>
        <v>6320000</v>
      </c>
      <c r="BL48" s="31">
        <f t="shared" si="101"/>
        <v>-2480000</v>
      </c>
      <c r="BM48" s="12">
        <f t="shared" si="102"/>
        <v>-28.18181818181818</v>
      </c>
    </row>
    <row r="49" spans="1:65">
      <c r="A49" s="6" t="s">
        <v>45</v>
      </c>
      <c r="B49" s="7" t="s">
        <v>104</v>
      </c>
      <c r="C49" s="6">
        <v>1</v>
      </c>
      <c r="D49" s="6">
        <v>3</v>
      </c>
      <c r="E49" s="12">
        <f t="shared" si="76"/>
        <v>0.33333333333333331</v>
      </c>
      <c r="F49" s="6">
        <v>22</v>
      </c>
      <c r="G49" s="6">
        <v>3</v>
      </c>
      <c r="H49" s="6">
        <v>19</v>
      </c>
      <c r="I49" s="34">
        <f t="shared" si="77"/>
        <v>95000</v>
      </c>
      <c r="J49" s="34">
        <v>500000</v>
      </c>
      <c r="K49" s="6">
        <v>2</v>
      </c>
      <c r="L49" s="6">
        <v>25</v>
      </c>
      <c r="M49" s="6">
        <v>4</v>
      </c>
      <c r="N49" s="6">
        <v>21</v>
      </c>
      <c r="O49" s="107">
        <f t="shared" si="78"/>
        <v>105000</v>
      </c>
      <c r="P49" s="107">
        <v>620000</v>
      </c>
      <c r="Q49" s="6">
        <f t="shared" si="79"/>
        <v>3</v>
      </c>
      <c r="R49" s="6">
        <f t="shared" si="80"/>
        <v>1</v>
      </c>
      <c r="S49" s="6">
        <f t="shared" si="81"/>
        <v>2</v>
      </c>
      <c r="T49" s="107">
        <f t="shared" si="82"/>
        <v>10000</v>
      </c>
      <c r="U49" s="26">
        <f t="shared" si="83"/>
        <v>120000</v>
      </c>
      <c r="V49" s="108">
        <f t="shared" si="84"/>
        <v>13.636363636363635</v>
      </c>
      <c r="W49" s="108">
        <f t="shared" si="85"/>
        <v>33.333333333333329</v>
      </c>
      <c r="X49" s="108">
        <f t="shared" si="86"/>
        <v>10.526315789473683</v>
      </c>
      <c r="Y49" s="108">
        <f t="shared" si="87"/>
        <v>10.526315789473683</v>
      </c>
      <c r="Z49" s="108">
        <f t="shared" si="88"/>
        <v>24</v>
      </c>
      <c r="AA49" s="6">
        <v>1</v>
      </c>
      <c r="AB49" s="6">
        <v>1</v>
      </c>
      <c r="AC49" s="6">
        <v>3</v>
      </c>
      <c r="AD49" s="12">
        <f t="shared" si="89"/>
        <v>0.33333333333333331</v>
      </c>
      <c r="AE49" s="28">
        <v>100000</v>
      </c>
      <c r="AF49" s="28">
        <f t="shared" si="90"/>
        <v>33333.333333333328</v>
      </c>
      <c r="AG49" s="6" t="s">
        <v>212</v>
      </c>
      <c r="AH49" s="6">
        <v>6</v>
      </c>
      <c r="AI49" s="6">
        <v>1</v>
      </c>
      <c r="AJ49" s="6">
        <v>1</v>
      </c>
      <c r="AK49" s="6">
        <v>2</v>
      </c>
      <c r="AL49" s="12">
        <f t="shared" si="91"/>
        <v>0.5</v>
      </c>
      <c r="AM49" s="28">
        <v>800000</v>
      </c>
      <c r="AN49" s="30">
        <f t="shared" si="92"/>
        <v>400000</v>
      </c>
      <c r="AO49" s="7" t="s">
        <v>210</v>
      </c>
      <c r="AP49" s="6">
        <v>1</v>
      </c>
      <c r="AQ49" s="6">
        <v>1</v>
      </c>
      <c r="AR49" s="6">
        <v>1</v>
      </c>
      <c r="AS49" s="6">
        <v>2</v>
      </c>
      <c r="AT49" s="12">
        <f t="shared" si="93"/>
        <v>0.5</v>
      </c>
      <c r="AU49" s="6" t="s">
        <v>208</v>
      </c>
      <c r="AV49" s="28">
        <v>700000</v>
      </c>
      <c r="AW49" s="30">
        <f t="shared" si="94"/>
        <v>350000</v>
      </c>
      <c r="AX49" s="7" t="s">
        <v>213</v>
      </c>
      <c r="AY49" s="6">
        <v>4</v>
      </c>
      <c r="AZ49" s="110">
        <v>180</v>
      </c>
      <c r="BA49" s="110">
        <v>150</v>
      </c>
      <c r="BB49" s="111">
        <f t="shared" si="95"/>
        <v>-16.666666666666664</v>
      </c>
      <c r="BC49" s="31">
        <f t="shared" si="96"/>
        <v>595000</v>
      </c>
      <c r="BD49" s="30">
        <f t="shared" si="97"/>
        <v>1508333.3333333335</v>
      </c>
      <c r="BE49" s="31">
        <f t="shared" si="98"/>
        <v>153.50140056022411</v>
      </c>
      <c r="BF49" s="6">
        <v>15</v>
      </c>
      <c r="BG49" s="28">
        <v>5000000</v>
      </c>
      <c r="BH49" s="28">
        <v>4500000</v>
      </c>
      <c r="BI49" s="106">
        <f t="shared" si="99"/>
        <v>-10</v>
      </c>
      <c r="BJ49" s="31">
        <f t="shared" si="103"/>
        <v>4405000</v>
      </c>
      <c r="BK49" s="31">
        <f t="shared" si="100"/>
        <v>2991666.6666666665</v>
      </c>
      <c r="BL49" s="31">
        <f t="shared" si="101"/>
        <v>-1413333.3333333335</v>
      </c>
      <c r="BM49" s="12">
        <f t="shared" si="102"/>
        <v>-32.08475217555808</v>
      </c>
    </row>
    <row r="50" spans="1:65">
      <c r="A50" s="6" t="s">
        <v>46</v>
      </c>
      <c r="B50" s="7" t="s">
        <v>105</v>
      </c>
      <c r="C50" s="6">
        <v>1</v>
      </c>
      <c r="D50" s="6">
        <v>1</v>
      </c>
      <c r="E50" s="12">
        <f t="shared" si="76"/>
        <v>1</v>
      </c>
      <c r="F50" s="6">
        <v>25</v>
      </c>
      <c r="G50" s="6">
        <v>2.5</v>
      </c>
      <c r="H50" s="6">
        <v>20</v>
      </c>
      <c r="I50" s="34">
        <f t="shared" si="77"/>
        <v>100000</v>
      </c>
      <c r="J50" s="34">
        <v>620000</v>
      </c>
      <c r="K50" s="6">
        <v>2</v>
      </c>
      <c r="L50" s="6">
        <v>31</v>
      </c>
      <c r="M50" s="6">
        <v>3</v>
      </c>
      <c r="N50" s="6">
        <v>22</v>
      </c>
      <c r="O50" s="107">
        <f t="shared" si="78"/>
        <v>110000</v>
      </c>
      <c r="P50" s="107">
        <v>700000</v>
      </c>
      <c r="Q50" s="6">
        <f t="shared" si="79"/>
        <v>6</v>
      </c>
      <c r="R50" s="6">
        <f t="shared" si="80"/>
        <v>0.5</v>
      </c>
      <c r="S50" s="6">
        <f t="shared" si="81"/>
        <v>2</v>
      </c>
      <c r="T50" s="107">
        <f t="shared" si="82"/>
        <v>10000</v>
      </c>
      <c r="U50" s="26">
        <f t="shared" si="83"/>
        <v>80000</v>
      </c>
      <c r="V50" s="108">
        <f t="shared" si="84"/>
        <v>24</v>
      </c>
      <c r="W50" s="108">
        <f t="shared" si="85"/>
        <v>20</v>
      </c>
      <c r="X50" s="108">
        <f t="shared" si="86"/>
        <v>10</v>
      </c>
      <c r="Y50" s="108">
        <f t="shared" si="87"/>
        <v>10</v>
      </c>
      <c r="Z50" s="108">
        <f t="shared" si="88"/>
        <v>12.903225806451612</v>
      </c>
      <c r="AA50" s="6">
        <v>1</v>
      </c>
      <c r="AB50" s="6">
        <v>1</v>
      </c>
      <c r="AC50" s="6">
        <v>2</v>
      </c>
      <c r="AD50" s="12">
        <f t="shared" si="89"/>
        <v>0.5</v>
      </c>
      <c r="AE50" s="28">
        <v>70000</v>
      </c>
      <c r="AF50" s="28">
        <f t="shared" si="90"/>
        <v>35000</v>
      </c>
      <c r="AG50" s="6" t="s">
        <v>212</v>
      </c>
      <c r="AH50" s="6">
        <v>4</v>
      </c>
      <c r="AI50" s="6">
        <v>1</v>
      </c>
      <c r="AJ50" s="6">
        <v>1</v>
      </c>
      <c r="AK50" s="6">
        <v>3</v>
      </c>
      <c r="AL50" s="12">
        <f t="shared" si="91"/>
        <v>0.33333333333333331</v>
      </c>
      <c r="AM50" s="28">
        <v>1000000</v>
      </c>
      <c r="AN50" s="30">
        <f t="shared" si="92"/>
        <v>333333.33333333331</v>
      </c>
      <c r="AO50" s="7" t="s">
        <v>210</v>
      </c>
      <c r="AP50" s="6">
        <v>2</v>
      </c>
      <c r="AQ50" s="6">
        <v>1</v>
      </c>
      <c r="AR50" s="6">
        <v>1</v>
      </c>
      <c r="AS50" s="6">
        <v>2</v>
      </c>
      <c r="AT50" s="12">
        <f t="shared" si="93"/>
        <v>0.5</v>
      </c>
      <c r="AU50" s="6" t="s">
        <v>208</v>
      </c>
      <c r="AV50" s="28">
        <v>800000</v>
      </c>
      <c r="AW50" s="30">
        <f t="shared" si="94"/>
        <v>400000</v>
      </c>
      <c r="AX50" s="7" t="s">
        <v>213</v>
      </c>
      <c r="AY50" s="6">
        <v>4</v>
      </c>
      <c r="AZ50" s="110">
        <v>800</v>
      </c>
      <c r="BA50" s="110">
        <v>650</v>
      </c>
      <c r="BB50" s="111">
        <f t="shared" si="95"/>
        <v>-18.75</v>
      </c>
      <c r="BC50" s="31">
        <f t="shared" si="96"/>
        <v>720000</v>
      </c>
      <c r="BD50" s="30">
        <f t="shared" si="97"/>
        <v>1578333.3333333333</v>
      </c>
      <c r="BE50" s="31">
        <f t="shared" si="98"/>
        <v>119.21296296296295</v>
      </c>
      <c r="BF50" s="6">
        <v>20</v>
      </c>
      <c r="BG50" s="28">
        <v>10000000</v>
      </c>
      <c r="BH50" s="28">
        <v>9000000</v>
      </c>
      <c r="BI50" s="106">
        <f t="shared" si="99"/>
        <v>-10</v>
      </c>
      <c r="BJ50" s="31">
        <f t="shared" si="103"/>
        <v>9280000</v>
      </c>
      <c r="BK50" s="31">
        <f t="shared" si="100"/>
        <v>7421666.666666667</v>
      </c>
      <c r="BL50" s="31">
        <f t="shared" si="101"/>
        <v>-1858333.333333333</v>
      </c>
      <c r="BM50" s="12">
        <f t="shared" si="102"/>
        <v>-20.025143678160916</v>
      </c>
    </row>
    <row r="51" spans="1:65">
      <c r="A51" s="6" t="s">
        <v>47</v>
      </c>
      <c r="B51" s="7" t="s">
        <v>107</v>
      </c>
      <c r="C51" s="6">
        <v>1</v>
      </c>
      <c r="D51" s="6">
        <v>2</v>
      </c>
      <c r="E51" s="12">
        <f t="shared" si="76"/>
        <v>0.5</v>
      </c>
      <c r="F51" s="6">
        <v>27</v>
      </c>
      <c r="G51" s="6">
        <v>2.5</v>
      </c>
      <c r="H51" s="6">
        <v>21</v>
      </c>
      <c r="I51" s="34">
        <f t="shared" si="77"/>
        <v>105000</v>
      </c>
      <c r="J51" s="34">
        <v>630000</v>
      </c>
      <c r="K51" s="6">
        <v>2</v>
      </c>
      <c r="L51" s="6">
        <v>30</v>
      </c>
      <c r="M51" s="6">
        <v>3</v>
      </c>
      <c r="N51" s="6">
        <v>24</v>
      </c>
      <c r="O51" s="107">
        <f t="shared" si="78"/>
        <v>120000</v>
      </c>
      <c r="P51" s="107">
        <v>750000</v>
      </c>
      <c r="Q51" s="6">
        <f t="shared" si="79"/>
        <v>3</v>
      </c>
      <c r="R51" s="6">
        <f t="shared" si="80"/>
        <v>0.5</v>
      </c>
      <c r="S51" s="6">
        <f t="shared" si="81"/>
        <v>3</v>
      </c>
      <c r="T51" s="107">
        <f t="shared" si="82"/>
        <v>15000</v>
      </c>
      <c r="U51" s="26">
        <f t="shared" si="83"/>
        <v>120000</v>
      </c>
      <c r="V51" s="108">
        <f t="shared" si="84"/>
        <v>11.111111111111111</v>
      </c>
      <c r="W51" s="108">
        <f t="shared" si="85"/>
        <v>20</v>
      </c>
      <c r="X51" s="108">
        <f t="shared" si="86"/>
        <v>14.285714285714285</v>
      </c>
      <c r="Y51" s="108">
        <f t="shared" si="87"/>
        <v>14.285714285714285</v>
      </c>
      <c r="Z51" s="108">
        <f t="shared" si="88"/>
        <v>19.047619047619047</v>
      </c>
      <c r="AA51" s="6">
        <v>1</v>
      </c>
      <c r="AB51" s="6">
        <v>1</v>
      </c>
      <c r="AC51" s="6">
        <v>1</v>
      </c>
      <c r="AD51" s="12">
        <f t="shared" si="89"/>
        <v>1</v>
      </c>
      <c r="AE51" s="28">
        <v>50000</v>
      </c>
      <c r="AF51" s="28">
        <f t="shared" si="90"/>
        <v>50000</v>
      </c>
      <c r="AG51" s="6" t="s">
        <v>212</v>
      </c>
      <c r="AH51" s="6">
        <v>6</v>
      </c>
      <c r="AI51" s="6">
        <v>1</v>
      </c>
      <c r="AJ51" s="6">
        <v>1</v>
      </c>
      <c r="AK51" s="6">
        <v>2</v>
      </c>
      <c r="AL51" s="12">
        <f t="shared" si="91"/>
        <v>0.5</v>
      </c>
      <c r="AM51" s="28">
        <v>1500000</v>
      </c>
      <c r="AN51" s="30">
        <f t="shared" si="92"/>
        <v>750000</v>
      </c>
      <c r="AO51" s="7" t="s">
        <v>210</v>
      </c>
      <c r="AP51" s="6">
        <v>1</v>
      </c>
      <c r="AQ51" s="6">
        <v>1</v>
      </c>
      <c r="AR51" s="6">
        <v>1</v>
      </c>
      <c r="AS51" s="6">
        <v>1</v>
      </c>
      <c r="AT51" s="12">
        <f t="shared" si="93"/>
        <v>1</v>
      </c>
      <c r="AU51" s="6" t="s">
        <v>208</v>
      </c>
      <c r="AV51" s="28">
        <v>1000000</v>
      </c>
      <c r="AW51" s="30">
        <f t="shared" si="94"/>
        <v>1000000</v>
      </c>
      <c r="AX51" s="7" t="s">
        <v>213</v>
      </c>
      <c r="AY51" s="6">
        <v>6</v>
      </c>
      <c r="AZ51" s="110">
        <v>500</v>
      </c>
      <c r="BA51" s="110">
        <v>450</v>
      </c>
      <c r="BB51" s="111">
        <f t="shared" si="95"/>
        <v>-10</v>
      </c>
      <c r="BC51" s="31">
        <f t="shared" si="96"/>
        <v>735000</v>
      </c>
      <c r="BD51" s="30">
        <f t="shared" si="97"/>
        <v>2670000</v>
      </c>
      <c r="BE51" s="31">
        <f t="shared" si="98"/>
        <v>263.26530612244898</v>
      </c>
      <c r="BF51" s="6">
        <v>20</v>
      </c>
      <c r="BG51" s="28">
        <v>5000000</v>
      </c>
      <c r="BH51" s="28">
        <v>4000000</v>
      </c>
      <c r="BI51" s="106">
        <f t="shared" si="99"/>
        <v>-20</v>
      </c>
      <c r="BJ51" s="31">
        <f t="shared" si="103"/>
        <v>4265000</v>
      </c>
      <c r="BK51" s="31">
        <f t="shared" si="100"/>
        <v>1330000</v>
      </c>
      <c r="BL51" s="31">
        <f t="shared" si="101"/>
        <v>-2935000</v>
      </c>
      <c r="BM51" s="12">
        <f t="shared" si="102"/>
        <v>-68.815943728018752</v>
      </c>
    </row>
    <row r="52" spans="1:65">
      <c r="A52" s="6" t="s">
        <v>48</v>
      </c>
      <c r="B52" s="7" t="s">
        <v>108</v>
      </c>
      <c r="C52" s="6">
        <v>1</v>
      </c>
      <c r="D52" s="6">
        <v>3</v>
      </c>
      <c r="E52" s="12">
        <f t="shared" si="76"/>
        <v>0.33333333333333331</v>
      </c>
      <c r="F52" s="6">
        <v>25</v>
      </c>
      <c r="G52" s="6">
        <v>3</v>
      </c>
      <c r="H52" s="6">
        <v>25</v>
      </c>
      <c r="I52" s="34">
        <f t="shared" si="77"/>
        <v>125000</v>
      </c>
      <c r="J52" s="34">
        <v>600000</v>
      </c>
      <c r="K52" s="6">
        <v>1</v>
      </c>
      <c r="L52" s="6">
        <v>28</v>
      </c>
      <c r="M52" s="6">
        <v>3.5</v>
      </c>
      <c r="N52" s="6">
        <v>28</v>
      </c>
      <c r="O52" s="107">
        <f t="shared" si="78"/>
        <v>140000</v>
      </c>
      <c r="P52" s="107">
        <v>630000</v>
      </c>
      <c r="Q52" s="6">
        <f t="shared" si="79"/>
        <v>3</v>
      </c>
      <c r="R52" s="6">
        <f t="shared" si="80"/>
        <v>0.5</v>
      </c>
      <c r="S52" s="6">
        <f t="shared" si="81"/>
        <v>3</v>
      </c>
      <c r="T52" s="107">
        <f t="shared" si="82"/>
        <v>15000</v>
      </c>
      <c r="U52" s="26">
        <f t="shared" si="83"/>
        <v>30000</v>
      </c>
      <c r="V52" s="108">
        <f t="shared" si="84"/>
        <v>12</v>
      </c>
      <c r="W52" s="108">
        <f t="shared" si="85"/>
        <v>16.666666666666664</v>
      </c>
      <c r="X52" s="108">
        <f t="shared" si="86"/>
        <v>12</v>
      </c>
      <c r="Y52" s="108">
        <f t="shared" si="87"/>
        <v>12</v>
      </c>
      <c r="Z52" s="108">
        <f t="shared" si="88"/>
        <v>5</v>
      </c>
      <c r="AA52" s="6">
        <v>1</v>
      </c>
      <c r="AB52" s="6">
        <v>1</v>
      </c>
      <c r="AC52" s="6">
        <v>5</v>
      </c>
      <c r="AD52" s="12">
        <f t="shared" si="89"/>
        <v>0.2</v>
      </c>
      <c r="AE52" s="28">
        <v>50000</v>
      </c>
      <c r="AF52" s="28">
        <f t="shared" si="90"/>
        <v>10000</v>
      </c>
      <c r="AG52" s="6" t="s">
        <v>212</v>
      </c>
      <c r="AH52" s="6">
        <v>4</v>
      </c>
      <c r="AI52" s="6">
        <v>1</v>
      </c>
      <c r="AJ52" s="6">
        <v>1</v>
      </c>
      <c r="AK52" s="6">
        <v>1</v>
      </c>
      <c r="AL52" s="12">
        <f t="shared" si="91"/>
        <v>1</v>
      </c>
      <c r="AM52" s="28">
        <v>500000</v>
      </c>
      <c r="AN52" s="30">
        <f t="shared" si="92"/>
        <v>500000</v>
      </c>
      <c r="AO52" s="7" t="s">
        <v>210</v>
      </c>
      <c r="AP52" s="6">
        <v>1</v>
      </c>
      <c r="AQ52" s="6">
        <v>1</v>
      </c>
      <c r="AR52" s="6">
        <v>1</v>
      </c>
      <c r="AS52" s="6">
        <v>2</v>
      </c>
      <c r="AT52" s="12">
        <f t="shared" si="93"/>
        <v>0.5</v>
      </c>
      <c r="AU52" s="6" t="s">
        <v>208</v>
      </c>
      <c r="AV52" s="28">
        <v>500000</v>
      </c>
      <c r="AW52" s="30">
        <f t="shared" si="94"/>
        <v>250000</v>
      </c>
      <c r="AX52" s="7" t="s">
        <v>213</v>
      </c>
      <c r="AY52" s="6">
        <v>6</v>
      </c>
      <c r="AZ52" s="110">
        <v>1000</v>
      </c>
      <c r="BA52" s="110">
        <v>950</v>
      </c>
      <c r="BB52" s="111">
        <f t="shared" si="95"/>
        <v>-5</v>
      </c>
      <c r="BC52" s="31">
        <f t="shared" si="96"/>
        <v>725000</v>
      </c>
      <c r="BD52" s="30">
        <f t="shared" si="97"/>
        <v>1530000</v>
      </c>
      <c r="BE52" s="31">
        <f t="shared" si="98"/>
        <v>111.03448275862068</v>
      </c>
      <c r="BF52" s="6">
        <v>30</v>
      </c>
      <c r="BG52" s="28">
        <v>6000000</v>
      </c>
      <c r="BH52" s="28">
        <v>5100000</v>
      </c>
      <c r="BI52" s="106">
        <f t="shared" si="99"/>
        <v>-15</v>
      </c>
      <c r="BJ52" s="31">
        <f t="shared" si="103"/>
        <v>5275000</v>
      </c>
      <c r="BK52" s="31">
        <f t="shared" si="100"/>
        <v>3570000</v>
      </c>
      <c r="BL52" s="31">
        <f t="shared" si="101"/>
        <v>-1705000</v>
      </c>
      <c r="BM52" s="12">
        <f t="shared" si="102"/>
        <v>-32.322274881516591</v>
      </c>
    </row>
    <row r="53" spans="1:65">
      <c r="A53" s="6" t="s">
        <v>49</v>
      </c>
      <c r="B53" s="7" t="s">
        <v>109</v>
      </c>
      <c r="C53" s="6">
        <v>1</v>
      </c>
      <c r="D53" s="6">
        <v>2</v>
      </c>
      <c r="E53" s="12">
        <f t="shared" si="76"/>
        <v>0.5</v>
      </c>
      <c r="F53" s="6">
        <v>25</v>
      </c>
      <c r="G53" s="6">
        <v>2.5</v>
      </c>
      <c r="H53" s="6">
        <v>20</v>
      </c>
      <c r="I53" s="34">
        <f t="shared" si="77"/>
        <v>100000</v>
      </c>
      <c r="J53" s="34">
        <v>450000</v>
      </c>
      <c r="K53" s="6">
        <v>2</v>
      </c>
      <c r="L53" s="6">
        <v>28</v>
      </c>
      <c r="M53" s="6">
        <v>3.5</v>
      </c>
      <c r="N53" s="6">
        <v>22</v>
      </c>
      <c r="O53" s="107">
        <f t="shared" si="78"/>
        <v>110000</v>
      </c>
      <c r="P53" s="107">
        <v>600000</v>
      </c>
      <c r="Q53" s="6">
        <f t="shared" si="79"/>
        <v>3</v>
      </c>
      <c r="R53" s="6">
        <f t="shared" si="80"/>
        <v>1</v>
      </c>
      <c r="S53" s="6">
        <f t="shared" si="81"/>
        <v>2</v>
      </c>
      <c r="T53" s="107">
        <f t="shared" si="82"/>
        <v>10000</v>
      </c>
      <c r="U53" s="26">
        <f t="shared" si="83"/>
        <v>150000</v>
      </c>
      <c r="V53" s="108">
        <f t="shared" si="84"/>
        <v>12</v>
      </c>
      <c r="W53" s="108">
        <f t="shared" si="85"/>
        <v>40</v>
      </c>
      <c r="X53" s="108">
        <f t="shared" si="86"/>
        <v>10</v>
      </c>
      <c r="Y53" s="108">
        <f t="shared" si="87"/>
        <v>10</v>
      </c>
      <c r="Z53" s="108">
        <f t="shared" si="88"/>
        <v>33.333333333333329</v>
      </c>
      <c r="AA53" s="6">
        <v>1</v>
      </c>
      <c r="AB53" s="6">
        <v>1</v>
      </c>
      <c r="AC53" s="6">
        <v>2</v>
      </c>
      <c r="AD53" s="12">
        <f t="shared" si="89"/>
        <v>0.5</v>
      </c>
      <c r="AE53" s="28">
        <v>100000</v>
      </c>
      <c r="AF53" s="28">
        <f t="shared" si="90"/>
        <v>50000</v>
      </c>
      <c r="AG53" s="6" t="s">
        <v>212</v>
      </c>
      <c r="AH53" s="6">
        <v>4</v>
      </c>
      <c r="AI53" s="6">
        <v>1</v>
      </c>
      <c r="AJ53" s="6">
        <v>1</v>
      </c>
      <c r="AK53" s="6">
        <v>3</v>
      </c>
      <c r="AL53" s="12">
        <f t="shared" si="91"/>
        <v>0.33333333333333331</v>
      </c>
      <c r="AM53" s="28">
        <v>400000</v>
      </c>
      <c r="AN53" s="30">
        <f t="shared" si="92"/>
        <v>133333.33333333331</v>
      </c>
      <c r="AO53" s="7" t="s">
        <v>210</v>
      </c>
      <c r="AP53" s="6">
        <v>1</v>
      </c>
      <c r="AQ53" s="6">
        <v>1</v>
      </c>
      <c r="AR53" s="6">
        <v>1</v>
      </c>
      <c r="AS53" s="6">
        <v>3</v>
      </c>
      <c r="AT53" s="12">
        <f t="shared" si="93"/>
        <v>0.33333333333333331</v>
      </c>
      <c r="AU53" s="6" t="s">
        <v>208</v>
      </c>
      <c r="AV53" s="28">
        <v>430000</v>
      </c>
      <c r="AW53" s="30">
        <f t="shared" si="94"/>
        <v>143333.33333333331</v>
      </c>
      <c r="AX53" s="7" t="s">
        <v>213</v>
      </c>
      <c r="AY53" s="6">
        <v>4</v>
      </c>
      <c r="AZ53" s="110">
        <v>500</v>
      </c>
      <c r="BA53" s="110">
        <v>450</v>
      </c>
      <c r="BB53" s="111">
        <f t="shared" si="95"/>
        <v>-10</v>
      </c>
      <c r="BC53" s="31">
        <f t="shared" si="96"/>
        <v>550000</v>
      </c>
      <c r="BD53" s="30">
        <f t="shared" si="97"/>
        <v>1036666.6666666665</v>
      </c>
      <c r="BE53" s="31">
        <f t="shared" si="98"/>
        <v>88.484848484848456</v>
      </c>
      <c r="BF53" s="6">
        <v>15</v>
      </c>
      <c r="BG53" s="28">
        <v>9000000</v>
      </c>
      <c r="BH53" s="28">
        <v>8000000</v>
      </c>
      <c r="BI53" s="106">
        <f t="shared" si="99"/>
        <v>-11.111111111111111</v>
      </c>
      <c r="BJ53" s="31">
        <f t="shared" si="103"/>
        <v>8450000</v>
      </c>
      <c r="BK53" s="31">
        <f t="shared" si="100"/>
        <v>6963333.333333334</v>
      </c>
      <c r="BL53" s="31">
        <f t="shared" si="101"/>
        <v>-1486666.666666666</v>
      </c>
      <c r="BM53" s="12">
        <f t="shared" si="102"/>
        <v>-17.593688362919124</v>
      </c>
    </row>
    <row r="54" spans="1:65">
      <c r="A54" s="6" t="s">
        <v>50</v>
      </c>
      <c r="B54" s="7" t="s">
        <v>110</v>
      </c>
      <c r="C54" s="6">
        <v>1</v>
      </c>
      <c r="D54" s="6">
        <v>1</v>
      </c>
      <c r="E54" s="12">
        <f t="shared" si="76"/>
        <v>1</v>
      </c>
      <c r="F54" s="6">
        <v>28</v>
      </c>
      <c r="G54" s="6">
        <v>3</v>
      </c>
      <c r="H54" s="6">
        <v>22</v>
      </c>
      <c r="I54" s="34">
        <f t="shared" si="77"/>
        <v>110000</v>
      </c>
      <c r="J54" s="34">
        <v>480000</v>
      </c>
      <c r="K54" s="6">
        <v>2</v>
      </c>
      <c r="L54" s="6">
        <v>31</v>
      </c>
      <c r="M54" s="6">
        <v>4</v>
      </c>
      <c r="N54" s="6">
        <v>23</v>
      </c>
      <c r="O54" s="107">
        <f t="shared" si="78"/>
        <v>115000</v>
      </c>
      <c r="P54" s="107">
        <v>550000</v>
      </c>
      <c r="Q54" s="6">
        <f t="shared" si="79"/>
        <v>3</v>
      </c>
      <c r="R54" s="6">
        <f t="shared" si="80"/>
        <v>1</v>
      </c>
      <c r="S54" s="6">
        <f t="shared" si="81"/>
        <v>1</v>
      </c>
      <c r="T54" s="107">
        <f t="shared" si="82"/>
        <v>5000</v>
      </c>
      <c r="U54" s="26">
        <f t="shared" si="83"/>
        <v>70000</v>
      </c>
      <c r="V54" s="108">
        <f t="shared" si="84"/>
        <v>10.714285714285714</v>
      </c>
      <c r="W54" s="108">
        <f t="shared" si="85"/>
        <v>33.333333333333329</v>
      </c>
      <c r="X54" s="108">
        <f t="shared" si="86"/>
        <v>4.5454545454545459</v>
      </c>
      <c r="Y54" s="108">
        <f t="shared" si="87"/>
        <v>4.5454545454545459</v>
      </c>
      <c r="Z54" s="108">
        <f t="shared" si="88"/>
        <v>14.583333333333334</v>
      </c>
      <c r="AA54" s="6">
        <v>1</v>
      </c>
      <c r="AB54" s="6">
        <v>1</v>
      </c>
      <c r="AC54" s="6">
        <v>2</v>
      </c>
      <c r="AD54" s="12">
        <f t="shared" si="89"/>
        <v>0.5</v>
      </c>
      <c r="AE54" s="28">
        <v>150000</v>
      </c>
      <c r="AF54" s="28">
        <f t="shared" si="90"/>
        <v>75000</v>
      </c>
      <c r="AG54" s="6" t="s">
        <v>212</v>
      </c>
      <c r="AH54" s="6">
        <v>6</v>
      </c>
      <c r="AI54" s="6">
        <v>1</v>
      </c>
      <c r="AJ54" s="6">
        <v>1</v>
      </c>
      <c r="AK54" s="6">
        <v>2</v>
      </c>
      <c r="AL54" s="12">
        <f t="shared" si="91"/>
        <v>0.5</v>
      </c>
      <c r="AM54" s="28">
        <v>1300000</v>
      </c>
      <c r="AN54" s="30">
        <f t="shared" si="92"/>
        <v>650000</v>
      </c>
      <c r="AO54" s="7" t="s">
        <v>210</v>
      </c>
      <c r="AP54" s="6">
        <v>1</v>
      </c>
      <c r="AQ54" s="6">
        <v>1</v>
      </c>
      <c r="AR54" s="6">
        <v>1</v>
      </c>
      <c r="AS54" s="6">
        <v>2</v>
      </c>
      <c r="AT54" s="12">
        <f t="shared" si="93"/>
        <v>0.5</v>
      </c>
      <c r="AU54" s="6" t="s">
        <v>208</v>
      </c>
      <c r="AV54" s="28">
        <v>350000</v>
      </c>
      <c r="AW54" s="30">
        <f t="shared" si="94"/>
        <v>175000</v>
      </c>
      <c r="AX54" s="7" t="s">
        <v>213</v>
      </c>
      <c r="AY54" s="6">
        <v>4</v>
      </c>
      <c r="AZ54" s="110">
        <v>1000</v>
      </c>
      <c r="BA54" s="110">
        <v>960</v>
      </c>
      <c r="BB54" s="111">
        <f t="shared" si="95"/>
        <v>-4</v>
      </c>
      <c r="BC54" s="31">
        <f t="shared" si="96"/>
        <v>590000</v>
      </c>
      <c r="BD54" s="30">
        <f t="shared" si="97"/>
        <v>1565000</v>
      </c>
      <c r="BE54" s="31">
        <f t="shared" si="98"/>
        <v>165.25423728813558</v>
      </c>
      <c r="BF54" s="6">
        <v>10</v>
      </c>
      <c r="BG54" s="28">
        <v>5000000</v>
      </c>
      <c r="BH54" s="28">
        <v>4200000</v>
      </c>
      <c r="BI54" s="106">
        <f t="shared" si="99"/>
        <v>-16</v>
      </c>
      <c r="BJ54" s="31">
        <f t="shared" si="103"/>
        <v>4410000</v>
      </c>
      <c r="BK54" s="31">
        <f t="shared" si="100"/>
        <v>2635000</v>
      </c>
      <c r="BL54" s="31">
        <f t="shared" si="101"/>
        <v>-1775000</v>
      </c>
      <c r="BM54" s="12">
        <f t="shared" si="102"/>
        <v>-40.249433106575964</v>
      </c>
    </row>
    <row r="55" spans="1:65">
      <c r="A55" s="207"/>
      <c r="B55" s="46" t="s">
        <v>196</v>
      </c>
      <c r="C55" s="35"/>
      <c r="D55" s="41">
        <f>_xlfn.MODE.SNGL(D45:D54)</f>
        <v>2</v>
      </c>
      <c r="E55" s="41">
        <f t="shared" ref="E55:K55" si="104">_xlfn.MODE.SNGL(E45:E54)</f>
        <v>0.5</v>
      </c>
      <c r="F55" s="41">
        <f t="shared" si="104"/>
        <v>25</v>
      </c>
      <c r="G55" s="41">
        <f t="shared" si="104"/>
        <v>2.5</v>
      </c>
      <c r="H55" s="41">
        <f t="shared" si="104"/>
        <v>20</v>
      </c>
      <c r="I55" s="41">
        <f t="shared" si="104"/>
        <v>100000</v>
      </c>
      <c r="J55" s="41">
        <f t="shared" si="104"/>
        <v>500000</v>
      </c>
      <c r="K55" s="41">
        <f t="shared" si="104"/>
        <v>2</v>
      </c>
      <c r="L55" s="35"/>
      <c r="M55" s="35"/>
      <c r="N55" s="35"/>
      <c r="O55" s="35"/>
      <c r="P55" s="35"/>
      <c r="Q55" s="35"/>
      <c r="R55" s="35"/>
      <c r="S55" s="35"/>
      <c r="T55" s="35"/>
      <c r="U55" s="35"/>
      <c r="V55" s="35"/>
      <c r="W55" s="35"/>
      <c r="X55" s="35"/>
      <c r="Y55" s="35"/>
      <c r="Z55" s="35"/>
      <c r="AA55" s="46">
        <f>_xlfn.MODE.SNGL(AA45:AA54)</f>
        <v>1</v>
      </c>
      <c r="AB55" s="46">
        <f t="shared" ref="AB55:AC55" si="105">_xlfn.MODE.SNGL(AB45:AB54)</f>
        <v>1</v>
      </c>
      <c r="AC55" s="46">
        <f t="shared" si="105"/>
        <v>2</v>
      </c>
      <c r="AD55" s="35"/>
      <c r="AE55" s="35"/>
      <c r="AF55" s="35"/>
      <c r="AG55" s="35"/>
      <c r="AH55" s="35"/>
      <c r="AI55" s="41">
        <f>_xlfn.MODE.SNGL(AI45:AI54)</f>
        <v>1</v>
      </c>
      <c r="AJ55" s="41">
        <f t="shared" ref="AJ55:AN55" si="106">_xlfn.MODE.SNGL(AJ45:AJ54)</f>
        <v>1</v>
      </c>
      <c r="AK55" s="41">
        <f t="shared" si="106"/>
        <v>2</v>
      </c>
      <c r="AL55" s="41">
        <f t="shared" si="106"/>
        <v>0.5</v>
      </c>
      <c r="AM55" s="41">
        <f t="shared" si="106"/>
        <v>400000</v>
      </c>
      <c r="AN55" s="41">
        <f t="shared" si="106"/>
        <v>400000</v>
      </c>
      <c r="AO55" s="35"/>
      <c r="AP55" s="35"/>
      <c r="AQ55" s="36">
        <f>_xlfn.MODE.SNGL(AQ45:AQ54)</f>
        <v>1</v>
      </c>
      <c r="AR55" s="40">
        <f t="shared" ref="AR55:AT55" si="107">_xlfn.MODE.SNGL(AR45:AR54)</f>
        <v>1</v>
      </c>
      <c r="AS55" s="40">
        <f t="shared" si="107"/>
        <v>2</v>
      </c>
      <c r="AT55" s="36">
        <f t="shared" si="107"/>
        <v>0.5</v>
      </c>
      <c r="AU55" s="35"/>
      <c r="AV55" s="35"/>
      <c r="AW55" s="35"/>
      <c r="AX55" s="35"/>
      <c r="AY55" s="35"/>
      <c r="AZ55" s="35"/>
      <c r="BA55" s="35"/>
      <c r="BB55" s="35"/>
      <c r="BC55" s="35"/>
      <c r="BD55" s="35"/>
      <c r="BE55" s="35"/>
      <c r="BF55" s="35"/>
      <c r="BG55" s="35"/>
      <c r="BH55" s="35"/>
      <c r="BI55" s="35"/>
      <c r="BJ55" s="35"/>
      <c r="BK55" s="35"/>
      <c r="BL55" s="35"/>
      <c r="BM55" s="35"/>
    </row>
    <row r="56" spans="1:65" s="114" customFormat="1">
      <c r="A56" s="208"/>
      <c r="B56" s="46" t="s">
        <v>141</v>
      </c>
      <c r="C56" s="35"/>
      <c r="D56" s="41">
        <f>AVERAGE(D45:D54)</f>
        <v>1.9</v>
      </c>
      <c r="E56" s="41">
        <f t="shared" ref="E56:J56" si="108">AVERAGE(E45:E54)</f>
        <v>0.6166666666666667</v>
      </c>
      <c r="F56" s="41">
        <f t="shared" si="108"/>
        <v>24.8</v>
      </c>
      <c r="G56" s="41">
        <f t="shared" si="108"/>
        <v>2.85</v>
      </c>
      <c r="H56" s="41">
        <f t="shared" si="108"/>
        <v>21.7</v>
      </c>
      <c r="I56" s="41">
        <f t="shared" si="108"/>
        <v>108500</v>
      </c>
      <c r="J56" s="41">
        <f t="shared" si="108"/>
        <v>568000</v>
      </c>
      <c r="K56" s="35"/>
      <c r="L56" s="41">
        <f>AVERAGE(L45:L54)</f>
        <v>29.3</v>
      </c>
      <c r="M56" s="41">
        <f t="shared" ref="M56:Z56" si="109">AVERAGE(M45:M54)</f>
        <v>3.53</v>
      </c>
      <c r="N56" s="41">
        <f t="shared" si="109"/>
        <v>24.5</v>
      </c>
      <c r="O56" s="41">
        <f t="shared" si="109"/>
        <v>122500</v>
      </c>
      <c r="P56" s="41">
        <f t="shared" si="109"/>
        <v>662000</v>
      </c>
      <c r="Q56" s="41">
        <f t="shared" si="109"/>
        <v>4.5</v>
      </c>
      <c r="R56" s="41">
        <f t="shared" si="109"/>
        <v>0.67999999999999994</v>
      </c>
      <c r="S56" s="41">
        <f t="shared" si="109"/>
        <v>2.8</v>
      </c>
      <c r="T56" s="41">
        <f t="shared" si="109"/>
        <v>14000</v>
      </c>
      <c r="U56" s="41">
        <f t="shared" si="109"/>
        <v>94000</v>
      </c>
      <c r="V56" s="41">
        <f t="shared" si="109"/>
        <v>18.684637584637589</v>
      </c>
      <c r="W56" s="41">
        <f t="shared" si="109"/>
        <v>24.25</v>
      </c>
      <c r="X56" s="41">
        <f t="shared" si="109"/>
        <v>13.259125085440875</v>
      </c>
      <c r="Y56" s="41">
        <f t="shared" si="109"/>
        <v>13.259125085440875</v>
      </c>
      <c r="Z56" s="41">
        <f t="shared" si="109"/>
        <v>17.776947230505105</v>
      </c>
      <c r="AA56" s="35"/>
      <c r="AB56" s="41">
        <f>AVERAGE(AB45:AB54)</f>
        <v>1</v>
      </c>
      <c r="AC56" s="41">
        <f t="shared" ref="AC56:AF56" si="110">AVERAGE(AC45:AC54)</f>
        <v>2.2999999999999998</v>
      </c>
      <c r="AD56" s="41">
        <f t="shared" si="110"/>
        <v>0.57833333333333337</v>
      </c>
      <c r="AE56" s="41">
        <f t="shared" si="110"/>
        <v>108500</v>
      </c>
      <c r="AF56" s="41">
        <f t="shared" si="110"/>
        <v>61208.333333333328</v>
      </c>
      <c r="AG56" s="35"/>
      <c r="AH56" s="35"/>
      <c r="AI56" s="41">
        <f>AVERAGE(AI45:AI54)</f>
        <v>1</v>
      </c>
      <c r="AJ56" s="41">
        <f t="shared" ref="AJ56:AN56" si="111">AVERAGE(AJ45:AJ54)</f>
        <v>1</v>
      </c>
      <c r="AK56" s="41">
        <f t="shared" si="111"/>
        <v>1.9</v>
      </c>
      <c r="AL56" s="41">
        <f t="shared" si="111"/>
        <v>0.6166666666666667</v>
      </c>
      <c r="AM56" s="41">
        <f t="shared" si="111"/>
        <v>765000</v>
      </c>
      <c r="AN56" s="41">
        <f t="shared" si="111"/>
        <v>439166.66666666669</v>
      </c>
      <c r="AO56" s="35"/>
      <c r="AP56" s="35"/>
      <c r="AQ56" s="35"/>
      <c r="AR56" s="40">
        <f>AVERAGE(AR45:AR54)</f>
        <v>1</v>
      </c>
      <c r="AS56" s="40">
        <f t="shared" ref="AS56:AT56" si="112">AVERAGE(AS45:AS54)</f>
        <v>2</v>
      </c>
      <c r="AT56" s="40">
        <f t="shared" si="112"/>
        <v>0.56666666666666665</v>
      </c>
      <c r="AU56" s="35"/>
      <c r="AV56" s="41">
        <f>AVERAGE(AV45:AV54)</f>
        <v>623000</v>
      </c>
      <c r="AW56" s="41">
        <f>AVERAGE(AW45:AW54)</f>
        <v>349333.33333333337</v>
      </c>
      <c r="AX56" s="35"/>
      <c r="AY56" s="35"/>
      <c r="AZ56" s="41">
        <f>AVERAGE(AZ45:AZ54)</f>
        <v>568</v>
      </c>
      <c r="BA56" s="41">
        <f t="shared" ref="BA56:BM56" si="113">AVERAGE(BA45:BA54)</f>
        <v>508</v>
      </c>
      <c r="BB56" s="112">
        <f t="shared" si="113"/>
        <v>-14.841666666666665</v>
      </c>
      <c r="BC56" s="41">
        <f t="shared" si="113"/>
        <v>676500</v>
      </c>
      <c r="BD56" s="41">
        <f t="shared" si="113"/>
        <v>1634208.3333333335</v>
      </c>
      <c r="BE56" s="41">
        <f t="shared" si="113"/>
        <v>144.86216544831569</v>
      </c>
      <c r="BF56" s="41">
        <f t="shared" si="113"/>
        <v>17</v>
      </c>
      <c r="BG56" s="41">
        <f t="shared" si="113"/>
        <v>7150000</v>
      </c>
      <c r="BH56" s="41">
        <f t="shared" si="113"/>
        <v>6200000</v>
      </c>
      <c r="BI56" s="112">
        <f t="shared" si="113"/>
        <v>-13.932915622389308</v>
      </c>
      <c r="BJ56" s="41">
        <f t="shared" si="113"/>
        <v>6473500</v>
      </c>
      <c r="BK56" s="41">
        <f t="shared" si="113"/>
        <v>4565791.666666667</v>
      </c>
      <c r="BL56" s="41">
        <f t="shared" si="113"/>
        <v>-1907708.3333333335</v>
      </c>
      <c r="BM56" s="112">
        <f t="shared" si="113"/>
        <v>-32.587888801300089</v>
      </c>
    </row>
    <row r="57" spans="1:65">
      <c r="A57" s="208"/>
      <c r="B57" s="46" t="s">
        <v>345</v>
      </c>
      <c r="C57" s="35"/>
      <c r="D57" s="41">
        <f>STDEV(D45:D54)</f>
        <v>0.73786478737262173</v>
      </c>
      <c r="E57" s="41">
        <f t="shared" ref="E57:J57" si="114">STDEV(E45:E54)</f>
        <v>0.27273194908074611</v>
      </c>
      <c r="F57" s="41">
        <f t="shared" si="114"/>
        <v>2.2997584414213783</v>
      </c>
      <c r="G57" s="41">
        <f t="shared" si="114"/>
        <v>0.47434164902525761</v>
      </c>
      <c r="H57" s="41">
        <f t="shared" si="114"/>
        <v>2.7908580918579378</v>
      </c>
      <c r="I57" s="41">
        <f t="shared" si="114"/>
        <v>13954.290459289652</v>
      </c>
      <c r="J57" s="41">
        <f t="shared" si="114"/>
        <v>121545.60186750212</v>
      </c>
      <c r="K57" s="35"/>
      <c r="L57" s="41">
        <f>STDEV(L45:L54)</f>
        <v>2.4517567397911058</v>
      </c>
      <c r="M57" s="41">
        <f t="shared" ref="M57:Z57" si="115">STDEV(M45:M54)</f>
        <v>0.53551636555550874</v>
      </c>
      <c r="N57" s="41">
        <f t="shared" si="115"/>
        <v>2.8382310609877335</v>
      </c>
      <c r="O57" s="41">
        <f t="shared" si="115"/>
        <v>14191.155304938668</v>
      </c>
      <c r="P57" s="41">
        <f t="shared" si="115"/>
        <v>109321.13753117972</v>
      </c>
      <c r="Q57" s="41">
        <f t="shared" si="115"/>
        <v>2.3213980461973533</v>
      </c>
      <c r="R57" s="41">
        <f t="shared" si="115"/>
        <v>0.23944379994757295</v>
      </c>
      <c r="S57" s="41">
        <f t="shared" si="115"/>
        <v>1.5491933384829666</v>
      </c>
      <c r="T57" s="41">
        <f t="shared" si="115"/>
        <v>7745.9666924148341</v>
      </c>
      <c r="U57" s="41">
        <f t="shared" si="115"/>
        <v>39214.509786273979</v>
      </c>
      <c r="V57" s="41">
        <f t="shared" si="115"/>
        <v>10.922620236890518</v>
      </c>
      <c r="W57" s="41">
        <f t="shared" si="115"/>
        <v>8.7352167887053067</v>
      </c>
      <c r="X57" s="41">
        <f t="shared" si="115"/>
        <v>8.0288865266911316</v>
      </c>
      <c r="Y57" s="41">
        <f t="shared" si="115"/>
        <v>8.0288865266911316</v>
      </c>
      <c r="Z57" s="41">
        <f t="shared" si="115"/>
        <v>9.6987982047555832</v>
      </c>
      <c r="AA57" s="35"/>
      <c r="AB57" s="86">
        <f>STDEV(AB45:AB54)</f>
        <v>0</v>
      </c>
      <c r="AC57" s="41">
        <f t="shared" ref="AC57:AF57" si="116">STDEV(AC45:AC54)</f>
        <v>1.3374935098492586</v>
      </c>
      <c r="AD57" s="41">
        <f t="shared" si="116"/>
        <v>0.31071899893037802</v>
      </c>
      <c r="AE57" s="41">
        <f t="shared" si="116"/>
        <v>74238.729036055636</v>
      </c>
      <c r="AF57" s="41">
        <f t="shared" si="116"/>
        <v>44407.297844519358</v>
      </c>
      <c r="AG57" s="35"/>
      <c r="AH57" s="35"/>
      <c r="AI57" s="112">
        <f>STDEV(AI45:AI54)</f>
        <v>0</v>
      </c>
      <c r="AJ57" s="112">
        <f t="shared" ref="AJ57:AN57" si="117">STDEV(AJ45:AJ54)</f>
        <v>0</v>
      </c>
      <c r="AK57" s="41">
        <f t="shared" si="117"/>
        <v>0.73786478737262173</v>
      </c>
      <c r="AL57" s="41">
        <f t="shared" si="117"/>
        <v>0.27273194908074594</v>
      </c>
      <c r="AM57" s="41">
        <f t="shared" si="117"/>
        <v>385897.22293204785</v>
      </c>
      <c r="AN57" s="41">
        <f t="shared" si="117"/>
        <v>206381.59849543471</v>
      </c>
      <c r="AO57" s="35"/>
      <c r="AP57" s="35"/>
      <c r="AQ57" s="35"/>
      <c r="AR57" s="40">
        <f>STDEV(AR45:AR54)</f>
        <v>0</v>
      </c>
      <c r="AS57" s="40">
        <f t="shared" ref="AS57:AT57" si="118">STDEV(AS45:AS54)</f>
        <v>0.66666666666666663</v>
      </c>
      <c r="AT57" s="40">
        <f t="shared" si="118"/>
        <v>0.23830678432808017</v>
      </c>
      <c r="AU57" s="35"/>
      <c r="AV57" s="41">
        <f>STDEV(AV45:AV54)</f>
        <v>391380.7467018388</v>
      </c>
      <c r="AW57" s="41">
        <f>STDEV(AW45:AW54)</f>
        <v>263830.0519203532</v>
      </c>
      <c r="AX57" s="35"/>
      <c r="AY57" s="35"/>
      <c r="AZ57" s="41">
        <f>STDEV(AZ45:AZ54)</f>
        <v>352.94947702657578</v>
      </c>
      <c r="BA57" s="41">
        <f t="shared" ref="BA57:BM57" si="119">STDEV(BA45:BA54)</f>
        <v>350.73890257252299</v>
      </c>
      <c r="BB57" s="41">
        <f t="shared" si="119"/>
        <v>10.032235851137051</v>
      </c>
      <c r="BC57" s="41">
        <f t="shared" si="119"/>
        <v>131678.26953095436</v>
      </c>
      <c r="BD57" s="41">
        <f t="shared" si="119"/>
        <v>427663.6955563486</v>
      </c>
      <c r="BE57" s="41">
        <f t="shared" si="119"/>
        <v>60.959522568630057</v>
      </c>
      <c r="BF57" s="41">
        <f t="shared" si="119"/>
        <v>7.8881063774661548</v>
      </c>
      <c r="BG57" s="41">
        <f t="shared" si="119"/>
        <v>2236689.02124944</v>
      </c>
      <c r="BH57" s="41">
        <f t="shared" si="119"/>
        <v>2106603.3745766613</v>
      </c>
      <c r="BI57" s="41">
        <f t="shared" si="119"/>
        <v>3.9876912958585229</v>
      </c>
      <c r="BJ57" s="41">
        <f t="shared" si="119"/>
        <v>2245008.1044149683</v>
      </c>
      <c r="BK57" s="41">
        <f t="shared" si="119"/>
        <v>2229567.2922275718</v>
      </c>
      <c r="BL57" s="41">
        <f t="shared" si="119"/>
        <v>499464.42187520681</v>
      </c>
      <c r="BM57" s="41">
        <f t="shared" si="119"/>
        <v>14.666392096791895</v>
      </c>
    </row>
    <row r="58" spans="1:65">
      <c r="A58" s="208"/>
      <c r="B58" s="46" t="s">
        <v>197</v>
      </c>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6">
        <f>COUNTIF(AG45:AG54,"Patah")/10*100</f>
        <v>100</v>
      </c>
      <c r="AH58" s="36">
        <f>COUNTIF(AH45:AH54,"1")/10*100</f>
        <v>0</v>
      </c>
      <c r="AI58" s="35"/>
      <c r="AJ58" s="35"/>
      <c r="AK58" s="35"/>
      <c r="AL58" s="35"/>
      <c r="AM58" s="35"/>
      <c r="AN58" s="35"/>
      <c r="AO58" s="36">
        <f>COUNTIF(AO45:AO54,"Tersumbat")/10*100</f>
        <v>100</v>
      </c>
      <c r="AP58" s="36">
        <f>COUNTIF(AP45:AP54,"1")/10*100</f>
        <v>70</v>
      </c>
      <c r="AQ58" s="35"/>
      <c r="AR58" s="35"/>
      <c r="AS58" s="35"/>
      <c r="AT58" s="35"/>
      <c r="AU58" s="36">
        <f>COUNTIF(AU45:AU54,"Jaring")/10*100</f>
        <v>100</v>
      </c>
      <c r="AV58" s="35"/>
      <c r="AW58" s="35"/>
      <c r="AX58" s="36">
        <f>COUNTIF(AX45:AX54,"Tersangkut/robek")/10*100</f>
        <v>100</v>
      </c>
      <c r="AY58" s="36">
        <f>COUNTIF(AY45:AY54,"1")/10*100</f>
        <v>0</v>
      </c>
      <c r="AZ58" s="35"/>
      <c r="BA58" s="35"/>
      <c r="BB58" s="35"/>
      <c r="BC58" s="35"/>
      <c r="BD58" s="35"/>
      <c r="BE58" s="35"/>
      <c r="BF58" s="35"/>
      <c r="BG58" s="35"/>
      <c r="BH58" s="35"/>
      <c r="BI58" s="35"/>
      <c r="BJ58" s="35"/>
      <c r="BK58" s="35"/>
      <c r="BL58" s="35"/>
      <c r="BM58" s="35"/>
    </row>
    <row r="59" spans="1:65" s="114" customFormat="1">
      <c r="A59" s="208"/>
      <c r="B59" s="46"/>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6">
        <f>COUNTIF(AH45:AH54,"2")/10*100</f>
        <v>0</v>
      </c>
      <c r="AI59" s="35"/>
      <c r="AJ59" s="35"/>
      <c r="AK59" s="35"/>
      <c r="AL59" s="35"/>
      <c r="AM59" s="35"/>
      <c r="AN59" s="35"/>
      <c r="AO59" s="35"/>
      <c r="AP59" s="36">
        <f>COUNTIF(AP45:AP54,"2")/10*100</f>
        <v>30</v>
      </c>
      <c r="AQ59" s="35"/>
      <c r="AR59" s="35"/>
      <c r="AS59" s="35"/>
      <c r="AT59" s="35"/>
      <c r="AU59" s="35"/>
      <c r="AV59" s="35"/>
      <c r="AW59" s="35"/>
      <c r="AX59" s="35"/>
      <c r="AY59" s="36">
        <f>COUNTIF(AY45:AY54,"2")/10*100</f>
        <v>0</v>
      </c>
      <c r="AZ59" s="35"/>
      <c r="BA59" s="35"/>
      <c r="BB59" s="35"/>
      <c r="BC59" s="35"/>
      <c r="BD59" s="35"/>
      <c r="BE59" s="35"/>
      <c r="BF59" s="35"/>
      <c r="BG59" s="35"/>
      <c r="BH59" s="35"/>
      <c r="BI59" s="35"/>
      <c r="BJ59" s="35"/>
      <c r="BK59" s="35"/>
      <c r="BL59" s="35"/>
      <c r="BM59" s="35"/>
    </row>
    <row r="60" spans="1:65">
      <c r="A60" s="208"/>
      <c r="B60" s="46"/>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6">
        <f>COUNTIF(AH45:AH54,"3")/10*100</f>
        <v>0</v>
      </c>
      <c r="AI60" s="35"/>
      <c r="AJ60" s="35"/>
      <c r="AK60" s="35"/>
      <c r="AL60" s="35"/>
      <c r="AM60" s="35"/>
      <c r="AN60" s="35"/>
      <c r="AO60" s="35"/>
      <c r="AP60" s="36">
        <f>COUNTIF(AP45:AP54,"3")/10*100</f>
        <v>0</v>
      </c>
      <c r="AQ60" s="35"/>
      <c r="AR60" s="35"/>
      <c r="AS60" s="35"/>
      <c r="AT60" s="35"/>
      <c r="AU60" s="35"/>
      <c r="AV60" s="35"/>
      <c r="AW60" s="35"/>
      <c r="AX60" s="35"/>
      <c r="AY60" s="36">
        <f>COUNTIF(AY45:AY54,"3")/10*100</f>
        <v>0</v>
      </c>
      <c r="AZ60" s="35"/>
      <c r="BA60" s="35"/>
      <c r="BB60" s="35"/>
      <c r="BC60" s="35"/>
      <c r="BD60" s="35"/>
      <c r="BE60" s="35"/>
      <c r="BF60" s="35"/>
      <c r="BG60" s="35"/>
      <c r="BH60" s="35"/>
      <c r="BI60" s="35"/>
      <c r="BJ60" s="35"/>
      <c r="BK60" s="35"/>
      <c r="BL60" s="35"/>
      <c r="BM60" s="35"/>
    </row>
    <row r="61" spans="1:65">
      <c r="A61" s="208"/>
      <c r="B61" s="46"/>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6">
        <f>COUNTIF(AH45:AH54,"4")/10*100</f>
        <v>50</v>
      </c>
      <c r="AI61" s="35"/>
      <c r="AJ61" s="35"/>
      <c r="AK61" s="35"/>
      <c r="AL61" s="35"/>
      <c r="AM61" s="35"/>
      <c r="AN61" s="35"/>
      <c r="AO61" s="35"/>
      <c r="AP61" s="36">
        <f>COUNTIF(AP45:AP54,"4")/10*100</f>
        <v>0</v>
      </c>
      <c r="AQ61" s="35"/>
      <c r="AR61" s="35"/>
      <c r="AS61" s="35"/>
      <c r="AT61" s="35"/>
      <c r="AU61" s="35"/>
      <c r="AV61" s="35"/>
      <c r="AW61" s="35"/>
      <c r="AX61" s="35"/>
      <c r="AY61" s="36">
        <f>COUNTIF(AY45:AY54,"4")/10*100</f>
        <v>60</v>
      </c>
      <c r="AZ61" s="35"/>
      <c r="BA61" s="35"/>
      <c r="BB61" s="35"/>
      <c r="BC61" s="35"/>
      <c r="BD61" s="35"/>
      <c r="BE61" s="35"/>
      <c r="BF61" s="35"/>
      <c r="BG61" s="35"/>
      <c r="BH61" s="35"/>
      <c r="BI61" s="35"/>
      <c r="BJ61" s="35"/>
      <c r="BK61" s="35"/>
      <c r="BL61" s="35"/>
      <c r="BM61" s="35"/>
    </row>
    <row r="62" spans="1:65">
      <c r="A62" s="208"/>
      <c r="B62" s="46"/>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6">
        <f>COUNTIF(AH45:AH54,"5")/10*100</f>
        <v>20</v>
      </c>
      <c r="AI62" s="35"/>
      <c r="AJ62" s="35"/>
      <c r="AK62" s="35"/>
      <c r="AL62" s="35"/>
      <c r="AM62" s="35"/>
      <c r="AN62" s="35"/>
      <c r="AO62" s="35"/>
      <c r="AP62" s="36">
        <f>COUNTIF(AP45:AP54,"5")/10*100</f>
        <v>0</v>
      </c>
      <c r="AQ62" s="35"/>
      <c r="AR62" s="35"/>
      <c r="AS62" s="35"/>
      <c r="AT62" s="35"/>
      <c r="AU62" s="35"/>
      <c r="AV62" s="35"/>
      <c r="AW62" s="35"/>
      <c r="AX62" s="35"/>
      <c r="AY62" s="36">
        <f>COUNTIF(AY45:AY54,"5")/10*100</f>
        <v>10</v>
      </c>
      <c r="AZ62" s="35"/>
      <c r="BA62" s="35"/>
      <c r="BB62" s="35"/>
      <c r="BC62" s="35"/>
      <c r="BD62" s="35"/>
      <c r="BE62" s="35"/>
      <c r="BF62" s="35"/>
      <c r="BG62" s="35"/>
      <c r="BH62" s="35"/>
      <c r="BI62" s="35"/>
      <c r="BJ62" s="35"/>
      <c r="BK62" s="35"/>
      <c r="BL62" s="35"/>
      <c r="BM62" s="35"/>
    </row>
    <row r="63" spans="1:65">
      <c r="A63" s="208"/>
      <c r="B63" s="46"/>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6">
        <f>COUNTIF(AH45:AH54,"6")/10*100</f>
        <v>30</v>
      </c>
      <c r="AI63" s="35"/>
      <c r="AJ63" s="35"/>
      <c r="AK63" s="35"/>
      <c r="AL63" s="35"/>
      <c r="AM63" s="35"/>
      <c r="AN63" s="35"/>
      <c r="AO63" s="35"/>
      <c r="AP63" s="36">
        <f>COUNTIF(AP45:AP54,"6")/10*100</f>
        <v>0</v>
      </c>
      <c r="AQ63" s="35"/>
      <c r="AR63" s="35"/>
      <c r="AS63" s="35"/>
      <c r="AT63" s="35"/>
      <c r="AU63" s="35"/>
      <c r="AV63" s="35"/>
      <c r="AW63" s="35"/>
      <c r="AX63" s="35"/>
      <c r="AY63" s="36">
        <f>COUNTIF(AY45:AY54,"6")/10*100</f>
        <v>30</v>
      </c>
      <c r="AZ63" s="35"/>
      <c r="BA63" s="35"/>
      <c r="BB63" s="35"/>
      <c r="BC63" s="35"/>
      <c r="BD63" s="35"/>
      <c r="BE63" s="35"/>
      <c r="BF63" s="35"/>
      <c r="BG63" s="35"/>
      <c r="BH63" s="35"/>
      <c r="BI63" s="35"/>
      <c r="BJ63" s="35"/>
      <c r="BK63" s="35"/>
      <c r="BL63" s="35"/>
      <c r="BM63" s="35"/>
    </row>
    <row r="64" spans="1:65">
      <c r="A64" s="209"/>
      <c r="B64" s="46"/>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row>
    <row r="65" spans="1:65">
      <c r="A65" s="6" t="s">
        <v>51</v>
      </c>
      <c r="B65" s="7" t="s">
        <v>111</v>
      </c>
      <c r="C65" s="6">
        <v>1</v>
      </c>
      <c r="D65" s="6">
        <v>5</v>
      </c>
      <c r="E65" s="12">
        <f>C65/D65</f>
        <v>0.2</v>
      </c>
      <c r="F65" s="6">
        <v>50</v>
      </c>
      <c r="G65" s="6">
        <v>4.5</v>
      </c>
      <c r="H65" s="6">
        <v>34</v>
      </c>
      <c r="I65" s="28">
        <f>5000*H65</f>
        <v>170000</v>
      </c>
      <c r="J65" s="28">
        <v>1500000</v>
      </c>
      <c r="K65" s="6">
        <v>2</v>
      </c>
      <c r="L65" s="6">
        <v>65</v>
      </c>
      <c r="M65" s="6">
        <v>6</v>
      </c>
      <c r="N65" s="6">
        <v>40</v>
      </c>
      <c r="O65" s="28">
        <f>5000*N65</f>
        <v>200000</v>
      </c>
      <c r="P65" s="28">
        <v>1900000</v>
      </c>
      <c r="Q65" s="93">
        <f>L65-F65</f>
        <v>15</v>
      </c>
      <c r="R65" s="93">
        <f>M65-G65</f>
        <v>1.5</v>
      </c>
      <c r="S65" s="93">
        <f>N65-H65</f>
        <v>6</v>
      </c>
      <c r="T65" s="93">
        <f>O65-I65</f>
        <v>30000</v>
      </c>
      <c r="U65" s="28">
        <f>P65-J65</f>
        <v>400000</v>
      </c>
      <c r="V65" s="28">
        <f>Q65/F65*100</f>
        <v>30</v>
      </c>
      <c r="W65" s="28">
        <f>R65/G65*100</f>
        <v>33.333333333333329</v>
      </c>
      <c r="X65" s="28">
        <f>S65/H65*100</f>
        <v>17.647058823529413</v>
      </c>
      <c r="Y65" s="28">
        <f>T65/I65*100</f>
        <v>17.647058823529413</v>
      </c>
      <c r="Z65" s="28">
        <f>U65/J65*100</f>
        <v>26.666666666666668</v>
      </c>
      <c r="AA65" s="6">
        <v>1</v>
      </c>
      <c r="AB65" s="6">
        <v>1</v>
      </c>
      <c r="AC65" s="6">
        <v>3</v>
      </c>
      <c r="AD65" s="12">
        <f>AB65/AC65</f>
        <v>0.33333333333333331</v>
      </c>
      <c r="AE65" s="28">
        <v>500000</v>
      </c>
      <c r="AF65" s="30">
        <f>AD65*AE65</f>
        <v>166666.66666666666</v>
      </c>
      <c r="AG65" s="6" t="s">
        <v>212</v>
      </c>
      <c r="AH65" s="6">
        <v>4</v>
      </c>
      <c r="AI65" s="6">
        <v>1</v>
      </c>
      <c r="AJ65" s="6">
        <v>1</v>
      </c>
      <c r="AK65" s="6">
        <v>7</v>
      </c>
      <c r="AL65" s="12">
        <f>AJ65/AK65</f>
        <v>0.14285714285714285</v>
      </c>
      <c r="AM65" s="28">
        <v>900000</v>
      </c>
      <c r="AN65" s="28">
        <f>AL65*AM65</f>
        <v>128571.42857142857</v>
      </c>
      <c r="AO65" s="6" t="s">
        <v>210</v>
      </c>
      <c r="AP65" s="6">
        <v>1</v>
      </c>
      <c r="AQ65" s="6">
        <v>1</v>
      </c>
      <c r="AR65" s="6">
        <v>1</v>
      </c>
      <c r="AS65" s="6">
        <v>6</v>
      </c>
      <c r="AT65" s="12">
        <f>AR65/AS65</f>
        <v>0.16666666666666666</v>
      </c>
      <c r="AU65" s="6" t="s">
        <v>208</v>
      </c>
      <c r="AV65" s="28">
        <v>1200000</v>
      </c>
      <c r="AW65" s="28">
        <f>AT65*AV65</f>
        <v>200000</v>
      </c>
      <c r="AX65" s="7" t="s">
        <v>213</v>
      </c>
      <c r="AY65" s="6">
        <v>4</v>
      </c>
      <c r="AZ65" s="34">
        <v>500</v>
      </c>
      <c r="BA65" s="34">
        <v>450</v>
      </c>
      <c r="BB65" s="109">
        <f>(BA65-AZ65)/AZ65*100</f>
        <v>-10</v>
      </c>
      <c r="BC65" s="31">
        <f t="shared" ref="BC65:BC74" si="120">I65+J65</f>
        <v>1670000</v>
      </c>
      <c r="BD65" s="31">
        <f t="shared" ref="BD65:BD74" si="121">O65+P65+AF65+AN65+AW65</f>
        <v>2595238.0952380951</v>
      </c>
      <c r="BE65" s="31">
        <f>(BD65-BC65)/BC65*100</f>
        <v>55.403478756772159</v>
      </c>
      <c r="BF65" s="6">
        <v>20</v>
      </c>
      <c r="BG65" s="28">
        <v>25000000</v>
      </c>
      <c r="BH65" s="28">
        <v>20000000</v>
      </c>
      <c r="BI65" s="94">
        <f>(BH65-BG65)/BG65*100</f>
        <v>-20</v>
      </c>
      <c r="BJ65" s="31">
        <f>BG65-BC65</f>
        <v>23330000</v>
      </c>
      <c r="BK65" s="31">
        <f>BH65-BD65</f>
        <v>17404761.904761903</v>
      </c>
      <c r="BL65" s="31">
        <f>BK65-BJ65</f>
        <v>-5925238.095238097</v>
      </c>
      <c r="BM65" s="12">
        <f>BL65/BJ65*100</f>
        <v>-25.397505766129864</v>
      </c>
    </row>
    <row r="66" spans="1:65">
      <c r="A66" s="6" t="s">
        <v>52</v>
      </c>
      <c r="B66" s="7" t="s">
        <v>113</v>
      </c>
      <c r="C66" s="6">
        <v>1</v>
      </c>
      <c r="D66" s="6">
        <v>7</v>
      </c>
      <c r="E66" s="12">
        <f t="shared" ref="E66:E74" si="122">C66/D66</f>
        <v>0.14285714285714285</v>
      </c>
      <c r="F66" s="6">
        <v>45</v>
      </c>
      <c r="G66" s="6">
        <v>6</v>
      </c>
      <c r="H66" s="6">
        <v>31</v>
      </c>
      <c r="I66" s="28">
        <f t="shared" ref="I66:I74" si="123">5000*H66</f>
        <v>155000</v>
      </c>
      <c r="J66" s="28">
        <v>1350000</v>
      </c>
      <c r="K66" s="6">
        <v>2</v>
      </c>
      <c r="L66" s="6">
        <v>50</v>
      </c>
      <c r="M66" s="6">
        <v>8.5</v>
      </c>
      <c r="N66" s="6">
        <v>36</v>
      </c>
      <c r="O66" s="28">
        <f t="shared" ref="O66:O74" si="124">5000*N66</f>
        <v>180000</v>
      </c>
      <c r="P66" s="28">
        <v>1500000</v>
      </c>
      <c r="Q66" s="93">
        <f t="shared" ref="Q66:Q74" si="125">L66-F66</f>
        <v>5</v>
      </c>
      <c r="R66" s="93">
        <f t="shared" ref="R66:R74" si="126">M66-G66</f>
        <v>2.5</v>
      </c>
      <c r="S66" s="93">
        <f t="shared" ref="S66:S74" si="127">N66-H66</f>
        <v>5</v>
      </c>
      <c r="T66" s="93">
        <f t="shared" ref="T66:T74" si="128">O66-I66</f>
        <v>25000</v>
      </c>
      <c r="U66" s="28">
        <f t="shared" ref="U66:U74" si="129">P66-J66</f>
        <v>150000</v>
      </c>
      <c r="V66" s="28">
        <f t="shared" ref="V66:V74" si="130">Q66/F66*100</f>
        <v>11.111111111111111</v>
      </c>
      <c r="W66" s="28">
        <f t="shared" ref="W66:W74" si="131">R66/G66*100</f>
        <v>41.666666666666671</v>
      </c>
      <c r="X66" s="28">
        <f t="shared" ref="X66:X74" si="132">S66/H66*100</f>
        <v>16.129032258064516</v>
      </c>
      <c r="Y66" s="28">
        <f t="shared" ref="Y66:Y74" si="133">T66/I66*100</f>
        <v>16.129032258064516</v>
      </c>
      <c r="Z66" s="28">
        <f t="shared" ref="Z66:Z74" si="134">U66/J66*100</f>
        <v>11.111111111111111</v>
      </c>
      <c r="AA66" s="6">
        <v>1</v>
      </c>
      <c r="AB66" s="6">
        <v>1</v>
      </c>
      <c r="AC66" s="6">
        <v>4</v>
      </c>
      <c r="AD66" s="12">
        <f t="shared" ref="AD66:AD74" si="135">AB66/AC66</f>
        <v>0.25</v>
      </c>
      <c r="AE66" s="28">
        <v>800000</v>
      </c>
      <c r="AF66" s="30">
        <f t="shared" ref="AF66:AF74" si="136">AD66*AE66</f>
        <v>200000</v>
      </c>
      <c r="AG66" s="6" t="s">
        <v>212</v>
      </c>
      <c r="AH66" s="6">
        <v>1</v>
      </c>
      <c r="AI66" s="6">
        <v>1</v>
      </c>
      <c r="AJ66" s="6">
        <v>1</v>
      </c>
      <c r="AK66" s="6">
        <v>5</v>
      </c>
      <c r="AL66" s="12">
        <f t="shared" ref="AL66:AL74" si="137">AJ66/AK66</f>
        <v>0.2</v>
      </c>
      <c r="AM66" s="28">
        <v>1200000</v>
      </c>
      <c r="AN66" s="28">
        <f t="shared" ref="AN66:AN74" si="138">AL66*AM66</f>
        <v>240000</v>
      </c>
      <c r="AO66" s="6" t="s">
        <v>210</v>
      </c>
      <c r="AP66" s="6">
        <v>1</v>
      </c>
      <c r="AQ66" s="6">
        <v>1</v>
      </c>
      <c r="AR66" s="6">
        <v>1</v>
      </c>
      <c r="AS66" s="6">
        <v>7</v>
      </c>
      <c r="AT66" s="12">
        <f t="shared" ref="AT66:AT74" si="139">AR66/AS66</f>
        <v>0.14285714285714285</v>
      </c>
      <c r="AU66" s="6" t="s">
        <v>208</v>
      </c>
      <c r="AV66" s="28">
        <v>1600000</v>
      </c>
      <c r="AW66" s="28">
        <f t="shared" ref="AW66:AW74" si="140">AT66*AV66</f>
        <v>228571.42857142855</v>
      </c>
      <c r="AX66" s="7" t="s">
        <v>213</v>
      </c>
      <c r="AY66" s="6">
        <v>5</v>
      </c>
      <c r="AZ66" s="34">
        <v>670</v>
      </c>
      <c r="BA66" s="34">
        <v>620</v>
      </c>
      <c r="BB66" s="109">
        <f t="shared" ref="BB66:BB74" si="141">(BA66-AZ66)/AZ66*100</f>
        <v>-7.4626865671641784</v>
      </c>
      <c r="BC66" s="31">
        <f t="shared" si="120"/>
        <v>1505000</v>
      </c>
      <c r="BD66" s="31">
        <f t="shared" si="121"/>
        <v>2348571.4285714286</v>
      </c>
      <c r="BE66" s="31">
        <f t="shared" ref="BE66:BE74" si="142">(BD66-BC66)/BC66*100</f>
        <v>56.051257712387283</v>
      </c>
      <c r="BF66" s="6">
        <v>38</v>
      </c>
      <c r="BG66" s="28">
        <v>34000000</v>
      </c>
      <c r="BH66" s="28">
        <v>31000000</v>
      </c>
      <c r="BI66" s="94">
        <f t="shared" ref="BI66:BI74" si="143">(BH66-BG66)/BG66*100</f>
        <v>-8.8235294117647065</v>
      </c>
      <c r="BJ66" s="31">
        <f t="shared" ref="BJ66:BJ74" si="144">BG66-BC66</f>
        <v>32495000</v>
      </c>
      <c r="BK66" s="31">
        <f t="shared" ref="BK66:BK74" si="145">BH66-BD66</f>
        <v>28651428.571428571</v>
      </c>
      <c r="BL66" s="31">
        <f t="shared" ref="BL66:BL74" si="146">BK66-BJ66</f>
        <v>-3843571.4285714291</v>
      </c>
      <c r="BM66" s="12">
        <f t="shared" ref="BM66:BM74" si="147">BL66/BJ66*100</f>
        <v>-11.828193348427233</v>
      </c>
    </row>
    <row r="67" spans="1:65">
      <c r="A67" s="6" t="s">
        <v>53</v>
      </c>
      <c r="B67" s="7" t="s">
        <v>114</v>
      </c>
      <c r="C67" s="6">
        <v>1</v>
      </c>
      <c r="D67" s="6">
        <v>7</v>
      </c>
      <c r="E67" s="12">
        <f t="shared" si="122"/>
        <v>0.14285714285714285</v>
      </c>
      <c r="F67" s="6">
        <v>56</v>
      </c>
      <c r="G67" s="6">
        <v>3</v>
      </c>
      <c r="H67" s="6">
        <v>26</v>
      </c>
      <c r="I67" s="28">
        <f t="shared" si="123"/>
        <v>130000</v>
      </c>
      <c r="J67" s="28">
        <v>1650000</v>
      </c>
      <c r="K67" s="6">
        <v>2</v>
      </c>
      <c r="L67" s="6">
        <v>63</v>
      </c>
      <c r="M67" s="6">
        <v>3.5</v>
      </c>
      <c r="N67" s="6">
        <v>29</v>
      </c>
      <c r="O67" s="28">
        <f t="shared" si="124"/>
        <v>145000</v>
      </c>
      <c r="P67" s="28">
        <v>1800000</v>
      </c>
      <c r="Q67" s="93">
        <f t="shared" si="125"/>
        <v>7</v>
      </c>
      <c r="R67" s="93">
        <f t="shared" si="126"/>
        <v>0.5</v>
      </c>
      <c r="S67" s="93">
        <f t="shared" si="127"/>
        <v>3</v>
      </c>
      <c r="T67" s="93">
        <f t="shared" si="128"/>
        <v>15000</v>
      </c>
      <c r="U67" s="28">
        <f t="shared" si="129"/>
        <v>150000</v>
      </c>
      <c r="V67" s="28">
        <f t="shared" si="130"/>
        <v>12.5</v>
      </c>
      <c r="W67" s="28">
        <f t="shared" si="131"/>
        <v>16.666666666666664</v>
      </c>
      <c r="X67" s="28">
        <f t="shared" si="132"/>
        <v>11.538461538461538</v>
      </c>
      <c r="Y67" s="28">
        <f t="shared" si="133"/>
        <v>11.538461538461538</v>
      </c>
      <c r="Z67" s="28">
        <f t="shared" si="134"/>
        <v>9.0909090909090917</v>
      </c>
      <c r="AA67" s="6">
        <v>1</v>
      </c>
      <c r="AB67" s="6">
        <v>1</v>
      </c>
      <c r="AC67" s="6">
        <v>3</v>
      </c>
      <c r="AD67" s="12">
        <f t="shared" si="135"/>
        <v>0.33333333333333331</v>
      </c>
      <c r="AE67" s="28">
        <v>700000</v>
      </c>
      <c r="AF67" s="30">
        <f t="shared" si="136"/>
        <v>233333.33333333331</v>
      </c>
      <c r="AG67" s="6" t="s">
        <v>212</v>
      </c>
      <c r="AH67" s="6">
        <v>5</v>
      </c>
      <c r="AI67" s="6">
        <v>1</v>
      </c>
      <c r="AJ67" s="6">
        <v>1</v>
      </c>
      <c r="AK67" s="6">
        <v>7</v>
      </c>
      <c r="AL67" s="12">
        <f t="shared" si="137"/>
        <v>0.14285714285714285</v>
      </c>
      <c r="AM67" s="28">
        <v>850000</v>
      </c>
      <c r="AN67" s="28">
        <f t="shared" si="138"/>
        <v>121428.57142857142</v>
      </c>
      <c r="AO67" s="6" t="s">
        <v>210</v>
      </c>
      <c r="AP67" s="6">
        <v>1</v>
      </c>
      <c r="AQ67" s="6">
        <v>1</v>
      </c>
      <c r="AR67" s="6">
        <v>1</v>
      </c>
      <c r="AS67" s="6">
        <v>5</v>
      </c>
      <c r="AT67" s="12">
        <f t="shared" si="139"/>
        <v>0.2</v>
      </c>
      <c r="AU67" s="6" t="s">
        <v>208</v>
      </c>
      <c r="AV67" s="28">
        <v>980000</v>
      </c>
      <c r="AW67" s="28">
        <f t="shared" si="140"/>
        <v>196000</v>
      </c>
      <c r="AX67" s="7" t="s">
        <v>213</v>
      </c>
      <c r="AY67" s="6">
        <v>5</v>
      </c>
      <c r="AZ67" s="34">
        <v>550</v>
      </c>
      <c r="BA67" s="34">
        <v>450</v>
      </c>
      <c r="BB67" s="109">
        <f t="shared" si="141"/>
        <v>-18.181818181818183</v>
      </c>
      <c r="BC67" s="31">
        <f t="shared" si="120"/>
        <v>1780000</v>
      </c>
      <c r="BD67" s="31">
        <f t="shared" si="121"/>
        <v>2495761.9047619049</v>
      </c>
      <c r="BE67" s="31">
        <f t="shared" si="142"/>
        <v>40.21134296415196</v>
      </c>
      <c r="BF67" s="6">
        <v>40</v>
      </c>
      <c r="BG67" s="28">
        <v>18000000</v>
      </c>
      <c r="BH67" s="28">
        <v>16500000</v>
      </c>
      <c r="BI67" s="94">
        <f t="shared" si="143"/>
        <v>-8.3333333333333321</v>
      </c>
      <c r="BJ67" s="31">
        <f t="shared" si="144"/>
        <v>16220000</v>
      </c>
      <c r="BK67" s="31">
        <f t="shared" si="145"/>
        <v>14004238.095238095</v>
      </c>
      <c r="BL67" s="31">
        <f t="shared" si="146"/>
        <v>-2215761.9047619049</v>
      </c>
      <c r="BM67" s="12">
        <f t="shared" si="147"/>
        <v>-13.660677587927896</v>
      </c>
    </row>
    <row r="68" spans="1:65">
      <c r="A68" s="6" t="s">
        <v>54</v>
      </c>
      <c r="B68" s="7" t="s">
        <v>115</v>
      </c>
      <c r="C68" s="6">
        <v>1</v>
      </c>
      <c r="D68" s="6">
        <v>5</v>
      </c>
      <c r="E68" s="12">
        <f t="shared" si="122"/>
        <v>0.2</v>
      </c>
      <c r="F68" s="6">
        <v>46</v>
      </c>
      <c r="G68" s="6">
        <v>4</v>
      </c>
      <c r="H68" s="6">
        <v>28</v>
      </c>
      <c r="I68" s="28">
        <f t="shared" si="123"/>
        <v>140000</v>
      </c>
      <c r="J68" s="28">
        <v>1100000</v>
      </c>
      <c r="K68" s="6">
        <v>2</v>
      </c>
      <c r="L68" s="6">
        <v>51</v>
      </c>
      <c r="M68" s="6">
        <v>5</v>
      </c>
      <c r="N68" s="6">
        <v>31</v>
      </c>
      <c r="O68" s="28">
        <f t="shared" si="124"/>
        <v>155000</v>
      </c>
      <c r="P68" s="28">
        <v>1500000</v>
      </c>
      <c r="Q68" s="93">
        <f t="shared" si="125"/>
        <v>5</v>
      </c>
      <c r="R68" s="93">
        <f t="shared" si="126"/>
        <v>1</v>
      </c>
      <c r="S68" s="93">
        <f t="shared" si="127"/>
        <v>3</v>
      </c>
      <c r="T68" s="93">
        <f t="shared" si="128"/>
        <v>15000</v>
      </c>
      <c r="U68" s="28">
        <f t="shared" si="129"/>
        <v>400000</v>
      </c>
      <c r="V68" s="28">
        <f t="shared" si="130"/>
        <v>10.869565217391305</v>
      </c>
      <c r="W68" s="28">
        <f t="shared" si="131"/>
        <v>25</v>
      </c>
      <c r="X68" s="28">
        <f t="shared" si="132"/>
        <v>10.714285714285714</v>
      </c>
      <c r="Y68" s="28">
        <f t="shared" si="133"/>
        <v>10.714285714285714</v>
      </c>
      <c r="Z68" s="28">
        <f t="shared" si="134"/>
        <v>36.363636363636367</v>
      </c>
      <c r="AA68" s="6">
        <v>1</v>
      </c>
      <c r="AB68" s="6">
        <v>1</v>
      </c>
      <c r="AC68" s="6">
        <v>5</v>
      </c>
      <c r="AD68" s="12">
        <f t="shared" si="135"/>
        <v>0.2</v>
      </c>
      <c r="AE68" s="28">
        <v>850000</v>
      </c>
      <c r="AF68" s="30">
        <f t="shared" si="136"/>
        <v>170000</v>
      </c>
      <c r="AG68" s="6" t="s">
        <v>212</v>
      </c>
      <c r="AH68" s="6">
        <v>5</v>
      </c>
      <c r="AI68" s="6">
        <v>1</v>
      </c>
      <c r="AJ68" s="6">
        <v>1</v>
      </c>
      <c r="AK68" s="6">
        <v>5</v>
      </c>
      <c r="AL68" s="12">
        <f t="shared" si="137"/>
        <v>0.2</v>
      </c>
      <c r="AM68" s="28">
        <v>650000</v>
      </c>
      <c r="AN68" s="28">
        <f t="shared" si="138"/>
        <v>130000</v>
      </c>
      <c r="AO68" s="6" t="s">
        <v>210</v>
      </c>
      <c r="AP68" s="6">
        <v>2</v>
      </c>
      <c r="AQ68" s="6">
        <v>1</v>
      </c>
      <c r="AR68" s="6">
        <v>1</v>
      </c>
      <c r="AS68" s="6">
        <v>6</v>
      </c>
      <c r="AT68" s="12">
        <f t="shared" si="139"/>
        <v>0.16666666666666666</v>
      </c>
      <c r="AU68" s="6" t="s">
        <v>208</v>
      </c>
      <c r="AV68" s="28">
        <v>1000000</v>
      </c>
      <c r="AW68" s="28">
        <f t="shared" si="140"/>
        <v>166666.66666666666</v>
      </c>
      <c r="AX68" s="7" t="s">
        <v>213</v>
      </c>
      <c r="AY68" s="6">
        <v>6</v>
      </c>
      <c r="AZ68" s="34">
        <v>650</v>
      </c>
      <c r="BA68" s="34">
        <v>560</v>
      </c>
      <c r="BB68" s="109">
        <f t="shared" si="141"/>
        <v>-13.846153846153847</v>
      </c>
      <c r="BC68" s="31">
        <f t="shared" si="120"/>
        <v>1240000</v>
      </c>
      <c r="BD68" s="31">
        <f t="shared" si="121"/>
        <v>2121666.6666666665</v>
      </c>
      <c r="BE68" s="31">
        <f t="shared" si="142"/>
        <v>71.102150537634401</v>
      </c>
      <c r="BF68" s="6">
        <v>32</v>
      </c>
      <c r="BG68" s="28">
        <v>20000000</v>
      </c>
      <c r="BH68" s="28">
        <v>18500000</v>
      </c>
      <c r="BI68" s="94">
        <f t="shared" si="143"/>
        <v>-7.5</v>
      </c>
      <c r="BJ68" s="31">
        <f t="shared" si="144"/>
        <v>18760000</v>
      </c>
      <c r="BK68" s="31">
        <f t="shared" si="145"/>
        <v>16378333.333333334</v>
      </c>
      <c r="BL68" s="31">
        <f t="shared" si="146"/>
        <v>-2381666.666666666</v>
      </c>
      <c r="BM68" s="12">
        <f t="shared" si="147"/>
        <v>-12.695451314854298</v>
      </c>
    </row>
    <row r="69" spans="1:65">
      <c r="A69" s="6" t="s">
        <v>55</v>
      </c>
      <c r="B69" s="7" t="s">
        <v>116</v>
      </c>
      <c r="C69" s="6">
        <v>1</v>
      </c>
      <c r="D69" s="6">
        <v>7</v>
      </c>
      <c r="E69" s="12">
        <f t="shared" si="122"/>
        <v>0.14285714285714285</v>
      </c>
      <c r="F69" s="6">
        <v>49</v>
      </c>
      <c r="G69" s="6">
        <v>5.5</v>
      </c>
      <c r="H69" s="6">
        <v>32</v>
      </c>
      <c r="I69" s="28">
        <f t="shared" si="123"/>
        <v>160000</v>
      </c>
      <c r="J69" s="28">
        <v>1480000</v>
      </c>
      <c r="K69" s="6">
        <v>1</v>
      </c>
      <c r="L69" s="6">
        <v>52</v>
      </c>
      <c r="M69" s="6">
        <v>7</v>
      </c>
      <c r="N69" s="6">
        <v>40</v>
      </c>
      <c r="O69" s="28">
        <f t="shared" si="124"/>
        <v>200000</v>
      </c>
      <c r="P69" s="28">
        <v>1700000</v>
      </c>
      <c r="Q69" s="93">
        <f t="shared" si="125"/>
        <v>3</v>
      </c>
      <c r="R69" s="93">
        <f t="shared" si="126"/>
        <v>1.5</v>
      </c>
      <c r="S69" s="93">
        <f t="shared" si="127"/>
        <v>8</v>
      </c>
      <c r="T69" s="93">
        <f t="shared" si="128"/>
        <v>40000</v>
      </c>
      <c r="U69" s="28">
        <f t="shared" si="129"/>
        <v>220000</v>
      </c>
      <c r="V69" s="28">
        <f t="shared" si="130"/>
        <v>6.1224489795918364</v>
      </c>
      <c r="W69" s="28">
        <f t="shared" si="131"/>
        <v>27.27272727272727</v>
      </c>
      <c r="X69" s="28">
        <f t="shared" si="132"/>
        <v>25</v>
      </c>
      <c r="Y69" s="28">
        <f t="shared" si="133"/>
        <v>25</v>
      </c>
      <c r="Z69" s="28">
        <f t="shared" si="134"/>
        <v>14.864864864864865</v>
      </c>
      <c r="AA69" s="6">
        <v>1</v>
      </c>
      <c r="AB69" s="6">
        <v>1</v>
      </c>
      <c r="AC69" s="6">
        <v>4</v>
      </c>
      <c r="AD69" s="12">
        <f t="shared" si="135"/>
        <v>0.25</v>
      </c>
      <c r="AE69" s="28">
        <v>1500000</v>
      </c>
      <c r="AF69" s="30">
        <f t="shared" si="136"/>
        <v>375000</v>
      </c>
      <c r="AG69" s="6" t="s">
        <v>212</v>
      </c>
      <c r="AH69" s="6">
        <v>5</v>
      </c>
      <c r="AI69" s="6">
        <v>1</v>
      </c>
      <c r="AJ69" s="6">
        <v>1</v>
      </c>
      <c r="AK69" s="6">
        <v>6</v>
      </c>
      <c r="AL69" s="12">
        <f t="shared" si="137"/>
        <v>0.16666666666666666</v>
      </c>
      <c r="AM69" s="28">
        <v>1000000</v>
      </c>
      <c r="AN69" s="28">
        <f t="shared" si="138"/>
        <v>166666.66666666666</v>
      </c>
      <c r="AO69" s="6" t="s">
        <v>210</v>
      </c>
      <c r="AP69" s="6">
        <v>3</v>
      </c>
      <c r="AQ69" s="6">
        <v>1</v>
      </c>
      <c r="AR69" s="6">
        <v>1</v>
      </c>
      <c r="AS69" s="6">
        <v>5</v>
      </c>
      <c r="AT69" s="12">
        <f t="shared" si="139"/>
        <v>0.2</v>
      </c>
      <c r="AU69" s="6" t="s">
        <v>208</v>
      </c>
      <c r="AV69" s="28">
        <v>1100000</v>
      </c>
      <c r="AW69" s="28">
        <f t="shared" si="140"/>
        <v>220000</v>
      </c>
      <c r="AX69" s="7" t="s">
        <v>213</v>
      </c>
      <c r="AY69" s="6">
        <v>6</v>
      </c>
      <c r="AZ69" s="34">
        <v>700</v>
      </c>
      <c r="BA69" s="34">
        <v>600</v>
      </c>
      <c r="BB69" s="109">
        <f t="shared" si="141"/>
        <v>-14.285714285714285</v>
      </c>
      <c r="BC69" s="31">
        <f t="shared" si="120"/>
        <v>1640000</v>
      </c>
      <c r="BD69" s="31">
        <f t="shared" si="121"/>
        <v>2661666.6666666665</v>
      </c>
      <c r="BE69" s="31">
        <f t="shared" si="142"/>
        <v>62.296747967479661</v>
      </c>
      <c r="BF69" s="6">
        <v>29</v>
      </c>
      <c r="BG69" s="28">
        <v>23000000</v>
      </c>
      <c r="BH69" s="28">
        <v>19500000</v>
      </c>
      <c r="BI69" s="94">
        <f t="shared" si="143"/>
        <v>-15.217391304347828</v>
      </c>
      <c r="BJ69" s="31">
        <f t="shared" si="144"/>
        <v>21360000</v>
      </c>
      <c r="BK69" s="31">
        <f t="shared" si="145"/>
        <v>16838333.333333332</v>
      </c>
      <c r="BL69" s="31">
        <f t="shared" si="146"/>
        <v>-4521666.6666666679</v>
      </c>
      <c r="BM69" s="12">
        <f t="shared" si="147"/>
        <v>-21.168851435705374</v>
      </c>
    </row>
    <row r="70" spans="1:65">
      <c r="A70" s="6" t="s">
        <v>56</v>
      </c>
      <c r="B70" s="7" t="s">
        <v>117</v>
      </c>
      <c r="C70" s="6">
        <v>1</v>
      </c>
      <c r="D70" s="6">
        <v>4</v>
      </c>
      <c r="E70" s="12">
        <f t="shared" si="122"/>
        <v>0.25</v>
      </c>
      <c r="F70" s="6">
        <v>34</v>
      </c>
      <c r="G70" s="6">
        <v>3</v>
      </c>
      <c r="H70" s="6">
        <v>40</v>
      </c>
      <c r="I70" s="28">
        <f t="shared" si="123"/>
        <v>200000</v>
      </c>
      <c r="J70" s="28">
        <v>1900000</v>
      </c>
      <c r="K70" s="6">
        <v>2</v>
      </c>
      <c r="L70" s="6">
        <v>52</v>
      </c>
      <c r="M70" s="6">
        <v>4</v>
      </c>
      <c r="N70" s="6">
        <v>43</v>
      </c>
      <c r="O70" s="28">
        <f t="shared" si="124"/>
        <v>215000</v>
      </c>
      <c r="P70" s="28">
        <v>2000000</v>
      </c>
      <c r="Q70" s="93">
        <f t="shared" si="125"/>
        <v>18</v>
      </c>
      <c r="R70" s="93">
        <f t="shared" si="126"/>
        <v>1</v>
      </c>
      <c r="S70" s="93">
        <f t="shared" si="127"/>
        <v>3</v>
      </c>
      <c r="T70" s="93">
        <f t="shared" si="128"/>
        <v>15000</v>
      </c>
      <c r="U70" s="28">
        <f t="shared" si="129"/>
        <v>100000</v>
      </c>
      <c r="V70" s="28">
        <f t="shared" si="130"/>
        <v>52.941176470588239</v>
      </c>
      <c r="W70" s="28">
        <f t="shared" si="131"/>
        <v>33.333333333333329</v>
      </c>
      <c r="X70" s="28">
        <f t="shared" si="132"/>
        <v>7.5</v>
      </c>
      <c r="Y70" s="28">
        <f t="shared" si="133"/>
        <v>7.5</v>
      </c>
      <c r="Z70" s="28">
        <f t="shared" si="134"/>
        <v>5.2631578947368416</v>
      </c>
      <c r="AA70" s="6">
        <v>1</v>
      </c>
      <c r="AB70" s="6">
        <v>1</v>
      </c>
      <c r="AC70" s="6">
        <v>4</v>
      </c>
      <c r="AD70" s="12">
        <f t="shared" si="135"/>
        <v>0.25</v>
      </c>
      <c r="AE70" s="28">
        <v>780000</v>
      </c>
      <c r="AF70" s="30">
        <f t="shared" si="136"/>
        <v>195000</v>
      </c>
      <c r="AG70" s="6" t="s">
        <v>212</v>
      </c>
      <c r="AH70" s="6">
        <v>5</v>
      </c>
      <c r="AI70" s="6">
        <v>1</v>
      </c>
      <c r="AJ70" s="6">
        <v>1</v>
      </c>
      <c r="AK70" s="6">
        <v>5</v>
      </c>
      <c r="AL70" s="12">
        <f t="shared" si="137"/>
        <v>0.2</v>
      </c>
      <c r="AM70" s="28">
        <v>950000</v>
      </c>
      <c r="AN70" s="28">
        <f t="shared" si="138"/>
        <v>190000</v>
      </c>
      <c r="AO70" s="6" t="s">
        <v>210</v>
      </c>
      <c r="AP70" s="6">
        <v>3</v>
      </c>
      <c r="AQ70" s="6">
        <v>1</v>
      </c>
      <c r="AR70" s="6">
        <v>1</v>
      </c>
      <c r="AS70" s="6">
        <v>5</v>
      </c>
      <c r="AT70" s="12">
        <f t="shared" si="139"/>
        <v>0.2</v>
      </c>
      <c r="AU70" s="6" t="s">
        <v>208</v>
      </c>
      <c r="AV70" s="28">
        <v>900000</v>
      </c>
      <c r="AW70" s="28">
        <f t="shared" si="140"/>
        <v>180000</v>
      </c>
      <c r="AX70" s="7" t="s">
        <v>213</v>
      </c>
      <c r="AY70" s="6">
        <v>6</v>
      </c>
      <c r="AZ70" s="34">
        <v>820</v>
      </c>
      <c r="BA70" s="34">
        <v>780</v>
      </c>
      <c r="BB70" s="109">
        <f t="shared" si="141"/>
        <v>-4.8780487804878048</v>
      </c>
      <c r="BC70" s="31">
        <f t="shared" si="120"/>
        <v>2100000</v>
      </c>
      <c r="BD70" s="31">
        <f t="shared" si="121"/>
        <v>2780000</v>
      </c>
      <c r="BE70" s="31">
        <f t="shared" si="142"/>
        <v>32.38095238095238</v>
      </c>
      <c r="BF70" s="6">
        <v>30</v>
      </c>
      <c r="BG70" s="28">
        <v>21000000</v>
      </c>
      <c r="BH70" s="28">
        <v>20000000</v>
      </c>
      <c r="BI70" s="94">
        <f t="shared" si="143"/>
        <v>-4.7619047619047619</v>
      </c>
      <c r="BJ70" s="31">
        <f t="shared" si="144"/>
        <v>18900000</v>
      </c>
      <c r="BK70" s="31">
        <f t="shared" si="145"/>
        <v>17220000</v>
      </c>
      <c r="BL70" s="31">
        <f t="shared" si="146"/>
        <v>-1680000</v>
      </c>
      <c r="BM70" s="12">
        <f t="shared" si="147"/>
        <v>-8.8888888888888893</v>
      </c>
    </row>
    <row r="71" spans="1:65">
      <c r="A71" s="6" t="s">
        <v>57</v>
      </c>
      <c r="B71" s="7" t="s">
        <v>119</v>
      </c>
      <c r="C71" s="6">
        <v>1</v>
      </c>
      <c r="D71" s="6">
        <v>6</v>
      </c>
      <c r="E71" s="12">
        <f t="shared" si="122"/>
        <v>0.16666666666666666</v>
      </c>
      <c r="F71" s="6">
        <v>39</v>
      </c>
      <c r="G71" s="6">
        <v>3</v>
      </c>
      <c r="H71" s="6">
        <v>28</v>
      </c>
      <c r="I71" s="28">
        <f t="shared" si="123"/>
        <v>140000</v>
      </c>
      <c r="J71" s="28">
        <v>1250000</v>
      </c>
      <c r="K71" s="6">
        <v>2</v>
      </c>
      <c r="L71" s="6">
        <v>43</v>
      </c>
      <c r="M71" s="6">
        <v>5</v>
      </c>
      <c r="N71" s="6">
        <v>31</v>
      </c>
      <c r="O71" s="28">
        <f t="shared" si="124"/>
        <v>155000</v>
      </c>
      <c r="P71" s="28">
        <v>1600000</v>
      </c>
      <c r="Q71" s="93">
        <f t="shared" si="125"/>
        <v>4</v>
      </c>
      <c r="R71" s="93">
        <f t="shared" si="126"/>
        <v>2</v>
      </c>
      <c r="S71" s="93">
        <f t="shared" si="127"/>
        <v>3</v>
      </c>
      <c r="T71" s="93">
        <f t="shared" si="128"/>
        <v>15000</v>
      </c>
      <c r="U71" s="28">
        <f t="shared" si="129"/>
        <v>350000</v>
      </c>
      <c r="V71" s="28">
        <f t="shared" si="130"/>
        <v>10.256410256410255</v>
      </c>
      <c r="W71" s="28">
        <f t="shared" si="131"/>
        <v>66.666666666666657</v>
      </c>
      <c r="X71" s="28">
        <f t="shared" si="132"/>
        <v>10.714285714285714</v>
      </c>
      <c r="Y71" s="28">
        <f t="shared" si="133"/>
        <v>10.714285714285714</v>
      </c>
      <c r="Z71" s="28">
        <f t="shared" si="134"/>
        <v>28.000000000000004</v>
      </c>
      <c r="AA71" s="6">
        <v>1</v>
      </c>
      <c r="AB71" s="6">
        <v>1</v>
      </c>
      <c r="AC71" s="6">
        <v>5</v>
      </c>
      <c r="AD71" s="12">
        <f t="shared" si="135"/>
        <v>0.2</v>
      </c>
      <c r="AE71" s="28">
        <v>680000</v>
      </c>
      <c r="AF71" s="30">
        <f t="shared" si="136"/>
        <v>136000</v>
      </c>
      <c r="AG71" s="6" t="s">
        <v>212</v>
      </c>
      <c r="AH71" s="6">
        <v>6</v>
      </c>
      <c r="AI71" s="6">
        <v>1</v>
      </c>
      <c r="AJ71" s="6">
        <v>1</v>
      </c>
      <c r="AK71" s="6">
        <v>5</v>
      </c>
      <c r="AL71" s="12">
        <f t="shared" si="137"/>
        <v>0.2</v>
      </c>
      <c r="AM71" s="28">
        <v>870000</v>
      </c>
      <c r="AN71" s="28">
        <f t="shared" si="138"/>
        <v>174000</v>
      </c>
      <c r="AO71" s="6" t="s">
        <v>210</v>
      </c>
      <c r="AP71" s="6">
        <v>1</v>
      </c>
      <c r="AQ71" s="6">
        <v>1</v>
      </c>
      <c r="AR71" s="6">
        <v>1</v>
      </c>
      <c r="AS71" s="6">
        <v>6</v>
      </c>
      <c r="AT71" s="12">
        <f t="shared" si="139"/>
        <v>0.16666666666666666</v>
      </c>
      <c r="AU71" s="6" t="s">
        <v>208</v>
      </c>
      <c r="AV71" s="28">
        <v>1500000</v>
      </c>
      <c r="AW71" s="28">
        <f t="shared" si="140"/>
        <v>250000</v>
      </c>
      <c r="AX71" s="7" t="s">
        <v>213</v>
      </c>
      <c r="AY71" s="6">
        <v>4</v>
      </c>
      <c r="AZ71" s="34">
        <v>600</v>
      </c>
      <c r="BA71" s="34">
        <v>550</v>
      </c>
      <c r="BB71" s="109">
        <f t="shared" si="141"/>
        <v>-8.3333333333333321</v>
      </c>
      <c r="BC71" s="31">
        <f t="shared" si="120"/>
        <v>1390000</v>
      </c>
      <c r="BD71" s="31">
        <f t="shared" si="121"/>
        <v>2315000</v>
      </c>
      <c r="BE71" s="31">
        <f t="shared" si="142"/>
        <v>66.546762589928051</v>
      </c>
      <c r="BF71" s="6">
        <v>28</v>
      </c>
      <c r="BG71" s="28">
        <v>19500000</v>
      </c>
      <c r="BH71" s="28">
        <v>18000000</v>
      </c>
      <c r="BI71" s="94">
        <f t="shared" si="143"/>
        <v>-7.6923076923076925</v>
      </c>
      <c r="BJ71" s="31">
        <f t="shared" si="144"/>
        <v>18110000</v>
      </c>
      <c r="BK71" s="31">
        <f t="shared" si="145"/>
        <v>15685000</v>
      </c>
      <c r="BL71" s="31">
        <f t="shared" si="146"/>
        <v>-2425000</v>
      </c>
      <c r="BM71" s="12">
        <f t="shared" si="147"/>
        <v>-13.390392048591938</v>
      </c>
    </row>
    <row r="72" spans="1:65">
      <c r="A72" s="6" t="s">
        <v>58</v>
      </c>
      <c r="B72" s="7" t="s">
        <v>120</v>
      </c>
      <c r="C72" s="6">
        <v>1</v>
      </c>
      <c r="D72" s="6">
        <v>7</v>
      </c>
      <c r="E72" s="12">
        <f t="shared" si="122"/>
        <v>0.14285714285714285</v>
      </c>
      <c r="F72" s="6">
        <v>46</v>
      </c>
      <c r="G72" s="6">
        <v>4</v>
      </c>
      <c r="H72" s="6">
        <v>30</v>
      </c>
      <c r="I72" s="28">
        <f t="shared" si="123"/>
        <v>150000</v>
      </c>
      <c r="J72" s="28">
        <v>980000</v>
      </c>
      <c r="K72" s="6">
        <v>1</v>
      </c>
      <c r="L72" s="6">
        <v>50</v>
      </c>
      <c r="M72" s="6">
        <v>5</v>
      </c>
      <c r="N72" s="6">
        <v>32</v>
      </c>
      <c r="O72" s="28">
        <f t="shared" si="124"/>
        <v>160000</v>
      </c>
      <c r="P72" s="28">
        <v>1200000</v>
      </c>
      <c r="Q72" s="93">
        <f t="shared" si="125"/>
        <v>4</v>
      </c>
      <c r="R72" s="93">
        <f t="shared" si="126"/>
        <v>1</v>
      </c>
      <c r="S72" s="93">
        <f t="shared" si="127"/>
        <v>2</v>
      </c>
      <c r="T72" s="93">
        <f t="shared" si="128"/>
        <v>10000</v>
      </c>
      <c r="U72" s="28">
        <f t="shared" si="129"/>
        <v>220000</v>
      </c>
      <c r="V72" s="28">
        <f t="shared" si="130"/>
        <v>8.695652173913043</v>
      </c>
      <c r="W72" s="28">
        <f t="shared" si="131"/>
        <v>25</v>
      </c>
      <c r="X72" s="28">
        <f t="shared" si="132"/>
        <v>6.666666666666667</v>
      </c>
      <c r="Y72" s="28">
        <f t="shared" si="133"/>
        <v>6.666666666666667</v>
      </c>
      <c r="Z72" s="28">
        <f t="shared" si="134"/>
        <v>22.448979591836736</v>
      </c>
      <c r="AA72" s="6">
        <v>1</v>
      </c>
      <c r="AB72" s="6">
        <v>1</v>
      </c>
      <c r="AC72" s="6">
        <v>4</v>
      </c>
      <c r="AD72" s="12">
        <f t="shared" si="135"/>
        <v>0.25</v>
      </c>
      <c r="AE72" s="28">
        <v>1700000</v>
      </c>
      <c r="AF72" s="30">
        <f t="shared" si="136"/>
        <v>425000</v>
      </c>
      <c r="AG72" s="6" t="s">
        <v>212</v>
      </c>
      <c r="AH72" s="6">
        <v>6</v>
      </c>
      <c r="AI72" s="6">
        <v>1</v>
      </c>
      <c r="AJ72" s="6">
        <v>1</v>
      </c>
      <c r="AK72" s="6">
        <v>8</v>
      </c>
      <c r="AL72" s="12">
        <f t="shared" si="137"/>
        <v>0.125</v>
      </c>
      <c r="AM72" s="28">
        <v>540000</v>
      </c>
      <c r="AN72" s="28">
        <f t="shared" si="138"/>
        <v>67500</v>
      </c>
      <c r="AO72" s="6" t="s">
        <v>210</v>
      </c>
      <c r="AP72" s="6">
        <v>1</v>
      </c>
      <c r="AQ72" s="6">
        <v>1</v>
      </c>
      <c r="AR72" s="6">
        <v>1</v>
      </c>
      <c r="AS72" s="6">
        <v>7</v>
      </c>
      <c r="AT72" s="12">
        <f t="shared" si="139"/>
        <v>0.14285714285714285</v>
      </c>
      <c r="AU72" s="6" t="s">
        <v>208</v>
      </c>
      <c r="AV72" s="28">
        <v>2000000</v>
      </c>
      <c r="AW72" s="28">
        <f t="shared" si="140"/>
        <v>285714.28571428568</v>
      </c>
      <c r="AX72" s="7" t="s">
        <v>213</v>
      </c>
      <c r="AY72" s="6">
        <v>4</v>
      </c>
      <c r="AZ72" s="34">
        <v>1000</v>
      </c>
      <c r="BA72" s="34">
        <v>980</v>
      </c>
      <c r="BB72" s="109">
        <f t="shared" si="141"/>
        <v>-2</v>
      </c>
      <c r="BC72" s="31">
        <f t="shared" si="120"/>
        <v>1130000</v>
      </c>
      <c r="BD72" s="31">
        <f t="shared" si="121"/>
        <v>2138214.2857142854</v>
      </c>
      <c r="BE72" s="31">
        <f t="shared" si="142"/>
        <v>89.222503160556229</v>
      </c>
      <c r="BF72" s="6">
        <v>50</v>
      </c>
      <c r="BG72" s="28">
        <v>28500000</v>
      </c>
      <c r="BH72" s="28">
        <v>26500000</v>
      </c>
      <c r="BI72" s="94">
        <f t="shared" si="143"/>
        <v>-7.0175438596491224</v>
      </c>
      <c r="BJ72" s="31">
        <f t="shared" si="144"/>
        <v>27370000</v>
      </c>
      <c r="BK72" s="31">
        <f t="shared" si="145"/>
        <v>24361785.714285716</v>
      </c>
      <c r="BL72" s="31">
        <f t="shared" si="146"/>
        <v>-3008214.2857142836</v>
      </c>
      <c r="BM72" s="12">
        <f t="shared" si="147"/>
        <v>-10.990918106372977</v>
      </c>
    </row>
    <row r="73" spans="1:65">
      <c r="A73" s="6" t="s">
        <v>59</v>
      </c>
      <c r="B73" s="7" t="s">
        <v>122</v>
      </c>
      <c r="C73" s="6">
        <v>1</v>
      </c>
      <c r="D73" s="6">
        <v>4</v>
      </c>
      <c r="E73" s="12">
        <f t="shared" si="122"/>
        <v>0.25</v>
      </c>
      <c r="F73" s="6">
        <v>31</v>
      </c>
      <c r="G73" s="6">
        <v>4</v>
      </c>
      <c r="H73" s="6">
        <v>46</v>
      </c>
      <c r="I73" s="28">
        <f t="shared" si="123"/>
        <v>230000</v>
      </c>
      <c r="J73" s="28">
        <v>1450000</v>
      </c>
      <c r="K73" s="6">
        <v>2</v>
      </c>
      <c r="L73" s="6">
        <v>36</v>
      </c>
      <c r="M73" s="6">
        <v>6</v>
      </c>
      <c r="N73" s="6">
        <v>49</v>
      </c>
      <c r="O73" s="28">
        <f t="shared" si="124"/>
        <v>245000</v>
      </c>
      <c r="P73" s="28">
        <v>1600000</v>
      </c>
      <c r="Q73" s="93">
        <f t="shared" si="125"/>
        <v>5</v>
      </c>
      <c r="R73" s="93">
        <f t="shared" si="126"/>
        <v>2</v>
      </c>
      <c r="S73" s="93">
        <f t="shared" si="127"/>
        <v>3</v>
      </c>
      <c r="T73" s="93">
        <f t="shared" si="128"/>
        <v>15000</v>
      </c>
      <c r="U73" s="28">
        <f t="shared" si="129"/>
        <v>150000</v>
      </c>
      <c r="V73" s="28">
        <f t="shared" si="130"/>
        <v>16.129032258064516</v>
      </c>
      <c r="W73" s="28">
        <f t="shared" si="131"/>
        <v>50</v>
      </c>
      <c r="X73" s="28">
        <f t="shared" si="132"/>
        <v>6.5217391304347823</v>
      </c>
      <c r="Y73" s="28">
        <f t="shared" si="133"/>
        <v>6.5217391304347823</v>
      </c>
      <c r="Z73" s="28">
        <f t="shared" si="134"/>
        <v>10.344827586206897</v>
      </c>
      <c r="AA73" s="6">
        <v>1</v>
      </c>
      <c r="AB73" s="6">
        <v>1</v>
      </c>
      <c r="AC73" s="6">
        <v>5</v>
      </c>
      <c r="AD73" s="12">
        <f t="shared" si="135"/>
        <v>0.2</v>
      </c>
      <c r="AE73" s="28">
        <v>900000</v>
      </c>
      <c r="AF73" s="30">
        <f t="shared" si="136"/>
        <v>180000</v>
      </c>
      <c r="AG73" s="6" t="s">
        <v>212</v>
      </c>
      <c r="AH73" s="6">
        <v>5</v>
      </c>
      <c r="AI73" s="6">
        <v>1</v>
      </c>
      <c r="AJ73" s="6">
        <v>1</v>
      </c>
      <c r="AK73" s="6">
        <v>5</v>
      </c>
      <c r="AL73" s="12">
        <f t="shared" si="137"/>
        <v>0.2</v>
      </c>
      <c r="AM73" s="28">
        <v>890000</v>
      </c>
      <c r="AN73" s="28">
        <f t="shared" si="138"/>
        <v>178000</v>
      </c>
      <c r="AO73" s="6" t="s">
        <v>210</v>
      </c>
      <c r="AP73" s="6">
        <v>3</v>
      </c>
      <c r="AQ73" s="6">
        <v>1</v>
      </c>
      <c r="AR73" s="6">
        <v>1</v>
      </c>
      <c r="AS73" s="6">
        <v>6</v>
      </c>
      <c r="AT73" s="12">
        <f t="shared" si="139"/>
        <v>0.16666666666666666</v>
      </c>
      <c r="AU73" s="6" t="s">
        <v>208</v>
      </c>
      <c r="AV73" s="28">
        <v>1800000</v>
      </c>
      <c r="AW73" s="28">
        <f t="shared" si="140"/>
        <v>300000</v>
      </c>
      <c r="AX73" s="7" t="s">
        <v>213</v>
      </c>
      <c r="AY73" s="6">
        <v>6</v>
      </c>
      <c r="AZ73" s="34">
        <v>850</v>
      </c>
      <c r="BA73" s="34">
        <v>700</v>
      </c>
      <c r="BB73" s="109">
        <f t="shared" si="141"/>
        <v>-17.647058823529413</v>
      </c>
      <c r="BC73" s="31">
        <f t="shared" si="120"/>
        <v>1680000</v>
      </c>
      <c r="BD73" s="31">
        <f t="shared" si="121"/>
        <v>2503000</v>
      </c>
      <c r="BE73" s="31">
        <f t="shared" si="142"/>
        <v>48.988095238095234</v>
      </c>
      <c r="BF73" s="6">
        <v>25</v>
      </c>
      <c r="BG73" s="28">
        <v>30000000</v>
      </c>
      <c r="BH73" s="28">
        <v>28500000</v>
      </c>
      <c r="BI73" s="94">
        <f t="shared" si="143"/>
        <v>-5</v>
      </c>
      <c r="BJ73" s="31">
        <f t="shared" si="144"/>
        <v>28320000</v>
      </c>
      <c r="BK73" s="31">
        <f t="shared" si="145"/>
        <v>25997000</v>
      </c>
      <c r="BL73" s="31">
        <f t="shared" si="146"/>
        <v>-2323000</v>
      </c>
      <c r="BM73" s="12">
        <f t="shared" si="147"/>
        <v>-8.2026836158192094</v>
      </c>
    </row>
    <row r="74" spans="1:65">
      <c r="A74" s="6" t="s">
        <v>60</v>
      </c>
      <c r="B74" s="7" t="s">
        <v>123</v>
      </c>
      <c r="C74" s="6">
        <v>1</v>
      </c>
      <c r="D74" s="6">
        <v>6</v>
      </c>
      <c r="E74" s="12">
        <f t="shared" si="122"/>
        <v>0.16666666666666666</v>
      </c>
      <c r="F74" s="6">
        <v>41</v>
      </c>
      <c r="G74" s="6">
        <v>3.5</v>
      </c>
      <c r="H74" s="6">
        <v>31</v>
      </c>
      <c r="I74" s="28">
        <f t="shared" si="123"/>
        <v>155000</v>
      </c>
      <c r="J74" s="28">
        <v>2000000</v>
      </c>
      <c r="K74" s="6">
        <v>2</v>
      </c>
      <c r="L74" s="6">
        <v>47</v>
      </c>
      <c r="M74" s="6">
        <v>4</v>
      </c>
      <c r="N74" s="6">
        <v>42</v>
      </c>
      <c r="O74" s="28">
        <f t="shared" si="124"/>
        <v>210000</v>
      </c>
      <c r="P74" s="28">
        <v>2400000</v>
      </c>
      <c r="Q74" s="93">
        <f t="shared" si="125"/>
        <v>6</v>
      </c>
      <c r="R74" s="93">
        <f t="shared" si="126"/>
        <v>0.5</v>
      </c>
      <c r="S74" s="93">
        <f t="shared" si="127"/>
        <v>11</v>
      </c>
      <c r="T74" s="93">
        <f t="shared" si="128"/>
        <v>55000</v>
      </c>
      <c r="U74" s="28">
        <f t="shared" si="129"/>
        <v>400000</v>
      </c>
      <c r="V74" s="28">
        <f t="shared" si="130"/>
        <v>14.634146341463413</v>
      </c>
      <c r="W74" s="28">
        <f t="shared" si="131"/>
        <v>14.285714285714285</v>
      </c>
      <c r="X74" s="28">
        <f t="shared" si="132"/>
        <v>35.483870967741936</v>
      </c>
      <c r="Y74" s="28">
        <f t="shared" si="133"/>
        <v>35.483870967741936</v>
      </c>
      <c r="Z74" s="28">
        <f t="shared" si="134"/>
        <v>20</v>
      </c>
      <c r="AA74" s="6">
        <v>1</v>
      </c>
      <c r="AB74" s="6">
        <v>1</v>
      </c>
      <c r="AC74" s="6">
        <v>6</v>
      </c>
      <c r="AD74" s="12">
        <f t="shared" si="135"/>
        <v>0.16666666666666666</v>
      </c>
      <c r="AE74" s="28">
        <v>2000000</v>
      </c>
      <c r="AF74" s="30">
        <f t="shared" si="136"/>
        <v>333333.33333333331</v>
      </c>
      <c r="AG74" s="6" t="s">
        <v>212</v>
      </c>
      <c r="AH74" s="6">
        <v>4</v>
      </c>
      <c r="AI74" s="6">
        <v>1</v>
      </c>
      <c r="AJ74" s="6">
        <v>1</v>
      </c>
      <c r="AK74" s="6">
        <v>5</v>
      </c>
      <c r="AL74" s="12">
        <f t="shared" si="137"/>
        <v>0.2</v>
      </c>
      <c r="AM74" s="28">
        <v>620000</v>
      </c>
      <c r="AN74" s="28">
        <f t="shared" si="138"/>
        <v>124000</v>
      </c>
      <c r="AO74" s="6" t="s">
        <v>210</v>
      </c>
      <c r="AP74" s="6">
        <v>2</v>
      </c>
      <c r="AQ74" s="6">
        <v>1</v>
      </c>
      <c r="AR74" s="6">
        <v>1</v>
      </c>
      <c r="AS74" s="6">
        <v>5</v>
      </c>
      <c r="AT74" s="12">
        <f t="shared" si="139"/>
        <v>0.2</v>
      </c>
      <c r="AU74" s="6" t="s">
        <v>208</v>
      </c>
      <c r="AV74" s="28">
        <v>1700000</v>
      </c>
      <c r="AW74" s="28">
        <f t="shared" si="140"/>
        <v>340000</v>
      </c>
      <c r="AX74" s="7" t="s">
        <v>213</v>
      </c>
      <c r="AY74" s="6">
        <v>6</v>
      </c>
      <c r="AZ74" s="34">
        <v>800</v>
      </c>
      <c r="BA74" s="34">
        <v>760</v>
      </c>
      <c r="BB74" s="109">
        <f t="shared" si="141"/>
        <v>-5</v>
      </c>
      <c r="BC74" s="31">
        <f t="shared" si="120"/>
        <v>2155000</v>
      </c>
      <c r="BD74" s="31">
        <f t="shared" si="121"/>
        <v>3407333.3333333335</v>
      </c>
      <c r="BE74" s="31">
        <f t="shared" si="142"/>
        <v>58.112915699922659</v>
      </c>
      <c r="BF74" s="6">
        <v>24</v>
      </c>
      <c r="BG74" s="28">
        <v>40000000</v>
      </c>
      <c r="BH74" s="28">
        <v>38000000</v>
      </c>
      <c r="BI74" s="94">
        <f t="shared" si="143"/>
        <v>-5</v>
      </c>
      <c r="BJ74" s="31">
        <f t="shared" si="144"/>
        <v>37845000</v>
      </c>
      <c r="BK74" s="31">
        <f t="shared" si="145"/>
        <v>34592666.666666664</v>
      </c>
      <c r="BL74" s="31">
        <f t="shared" si="146"/>
        <v>-3252333.3333333358</v>
      </c>
      <c r="BM74" s="12">
        <f t="shared" si="147"/>
        <v>-8.5938256925177328</v>
      </c>
    </row>
    <row r="75" spans="1:65">
      <c r="A75" s="210"/>
      <c r="B75" s="46" t="s">
        <v>196</v>
      </c>
      <c r="C75" s="35"/>
      <c r="D75" s="36">
        <f>_xlfn.MODE.SNGL(D65:D74)</f>
        <v>7</v>
      </c>
      <c r="E75" s="35"/>
      <c r="F75" s="35"/>
      <c r="G75" s="35"/>
      <c r="H75" s="35"/>
      <c r="I75" s="35"/>
      <c r="J75" s="35"/>
      <c r="K75" s="36">
        <f>_xlfn.MODE.SNGL(K65:K74)</f>
        <v>2</v>
      </c>
      <c r="L75" s="35"/>
      <c r="M75" s="35"/>
      <c r="N75" s="35"/>
      <c r="O75" s="35"/>
      <c r="P75" s="35"/>
      <c r="Q75" s="35"/>
      <c r="R75" s="35"/>
      <c r="S75" s="35"/>
      <c r="T75" s="35"/>
      <c r="U75" s="35"/>
      <c r="V75" s="35"/>
      <c r="W75" s="35"/>
      <c r="X75" s="35"/>
      <c r="Y75" s="35"/>
      <c r="Z75" s="35"/>
      <c r="AA75" s="35"/>
      <c r="AB75" s="35"/>
      <c r="AC75" s="36">
        <f>_xlfn.MODE.SNGL(AC65:AC74)</f>
        <v>4</v>
      </c>
      <c r="AD75" s="35"/>
      <c r="AE75" s="35"/>
      <c r="AF75" s="35"/>
      <c r="AG75" s="35"/>
      <c r="AH75" s="35"/>
      <c r="AI75" s="35"/>
      <c r="AJ75" s="35"/>
      <c r="AK75" s="36">
        <f>_xlfn.MODE.MULT(AK65:AK74)</f>
        <v>5</v>
      </c>
      <c r="AL75" s="35"/>
      <c r="AM75" s="35"/>
      <c r="AN75" s="35"/>
      <c r="AO75" s="35"/>
      <c r="AP75" s="35"/>
      <c r="AQ75" s="35"/>
      <c r="AR75" s="35"/>
      <c r="AS75" s="36">
        <f>_xlfn.MODE.SNGL(AS65:AS74)</f>
        <v>6</v>
      </c>
      <c r="AT75" s="35"/>
      <c r="AU75" s="35"/>
      <c r="AV75" s="35"/>
      <c r="AW75" s="35"/>
      <c r="AX75" s="35"/>
      <c r="AY75" s="36">
        <f>_xlfn.MODE.SNGL(AY65:AY74)</f>
        <v>6</v>
      </c>
      <c r="AZ75" s="35"/>
      <c r="BA75" s="35"/>
      <c r="BB75" s="35"/>
      <c r="BC75" s="35"/>
      <c r="BD75" s="35"/>
      <c r="BE75" s="35"/>
      <c r="BF75" s="35"/>
      <c r="BG75" s="35"/>
      <c r="BH75" s="35"/>
      <c r="BI75" s="35"/>
      <c r="BJ75" s="35"/>
      <c r="BK75" s="35"/>
      <c r="BL75" s="35"/>
      <c r="BM75" s="35"/>
    </row>
    <row r="76" spans="1:65" s="114" customFormat="1">
      <c r="A76" s="211"/>
      <c r="B76" s="46" t="s">
        <v>141</v>
      </c>
      <c r="C76" s="35"/>
      <c r="D76" s="83">
        <f>AVERAGE(D65:D74)</f>
        <v>5.8</v>
      </c>
      <c r="E76" s="83">
        <f t="shared" ref="E76:J76" si="148">AVERAGE(E65:E74)</f>
        <v>0.18047619047619048</v>
      </c>
      <c r="F76" s="83">
        <f t="shared" si="148"/>
        <v>43.7</v>
      </c>
      <c r="G76" s="83">
        <f t="shared" si="148"/>
        <v>4.05</v>
      </c>
      <c r="H76" s="83">
        <f t="shared" si="148"/>
        <v>32.6</v>
      </c>
      <c r="I76" s="82">
        <f t="shared" si="148"/>
        <v>163000</v>
      </c>
      <c r="J76" s="82">
        <f t="shared" si="148"/>
        <v>1466000</v>
      </c>
      <c r="K76" s="35"/>
      <c r="L76" s="101">
        <f>AVERAGE(L65:L74)</f>
        <v>50.9</v>
      </c>
      <c r="M76" s="102">
        <f>AVERAGE(M65:M74)</f>
        <v>5.4</v>
      </c>
      <c r="N76" s="102">
        <f>AVERAGE(N65:N74)</f>
        <v>37.299999999999997</v>
      </c>
      <c r="O76" s="41">
        <f>AVERAGE(O65:O74)</f>
        <v>186500</v>
      </c>
      <c r="P76" s="41">
        <f>AVERAGE(P65:P74)</f>
        <v>1720000</v>
      </c>
      <c r="Q76" s="41">
        <f t="shared" ref="Q76:Z76" si="149">AVERAGE(Q65:Q74)</f>
        <v>7.2</v>
      </c>
      <c r="R76" s="41">
        <f t="shared" si="149"/>
        <v>1.35</v>
      </c>
      <c r="S76" s="41">
        <f t="shared" si="149"/>
        <v>4.7</v>
      </c>
      <c r="T76" s="41">
        <f t="shared" si="149"/>
        <v>23500</v>
      </c>
      <c r="U76" s="41">
        <f t="shared" si="149"/>
        <v>254000</v>
      </c>
      <c r="V76" s="41">
        <f t="shared" si="149"/>
        <v>17.32595428085337</v>
      </c>
      <c r="W76" s="41">
        <f t="shared" si="149"/>
        <v>33.322510822510814</v>
      </c>
      <c r="X76" s="41">
        <f t="shared" si="149"/>
        <v>14.791540081347028</v>
      </c>
      <c r="Y76" s="41">
        <f t="shared" si="149"/>
        <v>14.791540081347028</v>
      </c>
      <c r="Z76" s="41">
        <f t="shared" si="149"/>
        <v>18.41541531699686</v>
      </c>
      <c r="AA76" s="35"/>
      <c r="AB76" s="35"/>
      <c r="AC76" s="35"/>
      <c r="AD76" s="40">
        <f>AVERAGE(AD65:AD74)</f>
        <v>0.24333333333333332</v>
      </c>
      <c r="AE76" s="104">
        <f>AVERAGE(AE65:AE74)</f>
        <v>1041000</v>
      </c>
      <c r="AF76" s="104">
        <f>AVERAGE(AF65:AF74)</f>
        <v>241433.33333333334</v>
      </c>
      <c r="AG76" s="35"/>
      <c r="AH76" s="35"/>
      <c r="AI76" s="35"/>
      <c r="AJ76" s="35"/>
      <c r="AK76" s="35"/>
      <c r="AL76" s="40">
        <f>AVERAGE(AL65:AL74)</f>
        <v>0.17773809523809522</v>
      </c>
      <c r="AM76" s="82">
        <f>AVERAGE(AM65:AM74)</f>
        <v>847000</v>
      </c>
      <c r="AN76" s="82">
        <f>AVERAGE(AN65:AN74)</f>
        <v>152016.66666666666</v>
      </c>
      <c r="AO76" s="35"/>
      <c r="AP76" s="35"/>
      <c r="AQ76" s="35"/>
      <c r="AR76" s="35"/>
      <c r="AS76" s="36">
        <f>AVERAGE(AS65:AS74)</f>
        <v>5.8</v>
      </c>
      <c r="AT76" s="40">
        <f>AVERAGE(AT65:AT74)</f>
        <v>0.17523809523809525</v>
      </c>
      <c r="AU76" s="36"/>
      <c r="AV76" s="51">
        <f>AVERAGE(AV65:AV74)</f>
        <v>1378000</v>
      </c>
      <c r="AW76" s="51">
        <f>AVERAGE(AW65:AW74)</f>
        <v>236695.23809523805</v>
      </c>
      <c r="AX76" s="36"/>
      <c r="AY76" s="35"/>
      <c r="AZ76" s="51">
        <f>AVERAGE(AZ65:AZ74)</f>
        <v>714</v>
      </c>
      <c r="BA76" s="51">
        <f t="shared" ref="BA76:BM76" si="150">AVERAGE(BA65:BA74)</f>
        <v>645</v>
      </c>
      <c r="BB76" s="85">
        <f t="shared" si="150"/>
        <v>-10.163481381820102</v>
      </c>
      <c r="BC76" s="44">
        <f t="shared" si="150"/>
        <v>1629000</v>
      </c>
      <c r="BD76" s="44">
        <f t="shared" si="150"/>
        <v>2536645.2380952379</v>
      </c>
      <c r="BE76" s="51">
        <f t="shared" si="150"/>
        <v>58.031620700788004</v>
      </c>
      <c r="BF76" s="51">
        <f t="shared" si="150"/>
        <v>31.6</v>
      </c>
      <c r="BG76" s="51">
        <f t="shared" si="150"/>
        <v>25900000</v>
      </c>
      <c r="BH76" s="51">
        <f t="shared" si="150"/>
        <v>23650000</v>
      </c>
      <c r="BI76" s="85">
        <f t="shared" si="150"/>
        <v>-8.9346010363307435</v>
      </c>
      <c r="BJ76" s="51">
        <f t="shared" si="150"/>
        <v>24271000</v>
      </c>
      <c r="BK76" s="51">
        <f t="shared" si="150"/>
        <v>21113354.761904761</v>
      </c>
      <c r="BL76" s="51">
        <f t="shared" si="150"/>
        <v>-3157645.2380952383</v>
      </c>
      <c r="BM76" s="99">
        <f t="shared" si="150"/>
        <v>-13.481738780523539</v>
      </c>
    </row>
    <row r="77" spans="1:65">
      <c r="A77" s="211"/>
      <c r="B77" s="46" t="s">
        <v>345</v>
      </c>
      <c r="C77" s="35"/>
      <c r="D77" s="83">
        <f>STDEV(D65:D74)</f>
        <v>1.2292725943057194</v>
      </c>
      <c r="E77" s="83">
        <f t="shared" ref="E77:J77" si="151">STDEV(E65:E74)</f>
        <v>4.2780648959804483E-2</v>
      </c>
      <c r="F77" s="83">
        <f t="shared" si="151"/>
        <v>7.5726114679444825</v>
      </c>
      <c r="G77" s="83">
        <f t="shared" si="151"/>
        <v>1.0394977419675113</v>
      </c>
      <c r="H77" s="83">
        <f t="shared" si="151"/>
        <v>6.0955357070199758</v>
      </c>
      <c r="I77" s="83">
        <f t="shared" si="151"/>
        <v>30477.678535099894</v>
      </c>
      <c r="J77" s="82">
        <f t="shared" si="151"/>
        <v>323047.98405190522</v>
      </c>
      <c r="K77" s="35"/>
      <c r="L77" s="102">
        <f>STDEV(L65:L74)</f>
        <v>8.4911718861415224</v>
      </c>
      <c r="M77" s="102">
        <f t="shared" ref="M77:Z77" si="152">STDEV(M65:M74)</f>
        <v>1.523883926754994</v>
      </c>
      <c r="N77" s="102">
        <f t="shared" si="152"/>
        <v>6.5328231093286018</v>
      </c>
      <c r="O77" s="103">
        <f t="shared" si="152"/>
        <v>32664.115546642992</v>
      </c>
      <c r="P77" s="103">
        <f t="shared" si="152"/>
        <v>329309.04093942582</v>
      </c>
      <c r="Q77" s="102">
        <f t="shared" si="152"/>
        <v>5.0728033012658136</v>
      </c>
      <c r="R77" s="102">
        <f t="shared" si="152"/>
        <v>0.66874675492462921</v>
      </c>
      <c r="S77" s="102">
        <f t="shared" si="152"/>
        <v>2.8693785622209789</v>
      </c>
      <c r="T77" s="103">
        <f t="shared" si="152"/>
        <v>14346.892811104895</v>
      </c>
      <c r="U77" s="103">
        <f t="shared" si="152"/>
        <v>120940.7568467581</v>
      </c>
      <c r="V77" s="103">
        <f t="shared" si="152"/>
        <v>14.108043832889434</v>
      </c>
      <c r="W77" s="103">
        <f t="shared" si="152"/>
        <v>15.897384711320965</v>
      </c>
      <c r="X77" s="103">
        <f t="shared" si="152"/>
        <v>9.271990933968425</v>
      </c>
      <c r="Y77" s="103">
        <f t="shared" si="152"/>
        <v>9.271990933968425</v>
      </c>
      <c r="Z77" s="103">
        <f t="shared" si="152"/>
        <v>9.9548343751184962</v>
      </c>
      <c r="AA77" s="35"/>
      <c r="AB77" s="35"/>
      <c r="AC77" s="35"/>
      <c r="AD77" s="40">
        <f>STDEV(AD65:AD74)</f>
        <v>5.5666555777223958E-2</v>
      </c>
      <c r="AE77" s="104">
        <f t="shared" ref="AE77:AF77" si="153">STDEV(AE65:AE74)</f>
        <v>504038.13788685121</v>
      </c>
      <c r="AF77" s="104">
        <f t="shared" si="153"/>
        <v>99723.946131802979</v>
      </c>
      <c r="AG77" s="35"/>
      <c r="AH77" s="35"/>
      <c r="AI77" s="35"/>
      <c r="AJ77" s="35"/>
      <c r="AK77" s="35"/>
      <c r="AL77" s="40">
        <f>STDEV(AL65:AL74)</f>
        <v>3.0387861830613299E-2</v>
      </c>
      <c r="AM77" s="82">
        <f t="shared" ref="AM77:AN77" si="154">STDEV(AM65:AM74)</f>
        <v>196754.21780033642</v>
      </c>
      <c r="AN77" s="82">
        <f t="shared" si="154"/>
        <v>47673.505963206509</v>
      </c>
      <c r="AO77" s="35"/>
      <c r="AP77" s="35"/>
      <c r="AQ77" s="35"/>
      <c r="AR77" s="35"/>
      <c r="AS77" s="40">
        <f>STDEV(AS65:AS74)</f>
        <v>0.78881063774661708</v>
      </c>
      <c r="AT77" s="40">
        <f>STDEV(AT65:AT74)</f>
        <v>2.3198509087549415E-2</v>
      </c>
      <c r="AU77" s="36"/>
      <c r="AV77" s="51">
        <f>STDEV(AV65:AV74)</f>
        <v>390378.73348269821</v>
      </c>
      <c r="AW77" s="51">
        <f>STDEV(AW65:AW74)</f>
        <v>56494.809425853484</v>
      </c>
      <c r="AX77" s="36"/>
      <c r="AY77" s="35"/>
      <c r="AZ77" s="51">
        <f>STDEV(AZ65:AZ74)</f>
        <v>153.05772331596557</v>
      </c>
      <c r="BA77" s="51">
        <f>STDEV(BA65:BA74)</f>
        <v>163.8596960817394</v>
      </c>
      <c r="BB77" s="51">
        <f>STDEV(BB65:BB74)</f>
        <v>5.6051837482536415</v>
      </c>
      <c r="BC77" s="51">
        <f t="shared" ref="BC77:BM77" si="155">STDEV(BC65:BC74)</f>
        <v>333089.91111843794</v>
      </c>
      <c r="BD77" s="51">
        <f t="shared" si="155"/>
        <v>373368.90259000746</v>
      </c>
      <c r="BE77" s="51">
        <f t="shared" si="155"/>
        <v>15.994960539732078</v>
      </c>
      <c r="BF77" s="51">
        <f t="shared" si="155"/>
        <v>8.8719282634110073</v>
      </c>
      <c r="BG77" s="51">
        <f t="shared" si="155"/>
        <v>7144539.4844205631</v>
      </c>
      <c r="BH77" s="51">
        <f t="shared" si="155"/>
        <v>7031871.8860785728</v>
      </c>
      <c r="BI77" s="51">
        <f t="shared" si="155"/>
        <v>4.9209350225679733</v>
      </c>
      <c r="BJ77" s="51">
        <f t="shared" si="155"/>
        <v>7065098.4108896572</v>
      </c>
      <c r="BK77" s="51">
        <f t="shared" si="155"/>
        <v>6851856.0686939824</v>
      </c>
      <c r="BL77" s="51">
        <f t="shared" si="155"/>
        <v>1287894.0169116901</v>
      </c>
      <c r="BM77" s="51">
        <f t="shared" si="155"/>
        <v>5.6127692033570673</v>
      </c>
    </row>
    <row r="78" spans="1:65">
      <c r="A78" s="211"/>
      <c r="B78" s="46" t="s">
        <v>197</v>
      </c>
      <c r="C78" s="35"/>
      <c r="D78" s="84">
        <f>COUNTIF(D65:D74,"4")/10*100</f>
        <v>20</v>
      </c>
      <c r="E78" s="35"/>
      <c r="F78" s="35"/>
      <c r="G78" s="35"/>
      <c r="H78" s="35"/>
      <c r="I78" s="35"/>
      <c r="J78" s="35"/>
      <c r="K78" s="36">
        <f>COUNTIF(K65:K74,"1")/10*100</f>
        <v>20</v>
      </c>
      <c r="L78" s="35"/>
      <c r="M78" s="35"/>
      <c r="N78" s="35"/>
      <c r="O78" s="35"/>
      <c r="P78" s="35"/>
      <c r="Q78" s="35"/>
      <c r="R78" s="35"/>
      <c r="S78" s="35"/>
      <c r="T78" s="35"/>
      <c r="U78" s="35"/>
      <c r="V78" s="35"/>
      <c r="W78" s="35"/>
      <c r="X78" s="35"/>
      <c r="Y78" s="35"/>
      <c r="Z78" s="35"/>
      <c r="AA78" s="36">
        <f>COUNTIF(AA65:AA74,"1")/10*100</f>
        <v>100</v>
      </c>
      <c r="AB78" s="35"/>
      <c r="AC78" s="36">
        <f>COUNTIF(AC65:AC74,"3")/10*100</f>
        <v>20</v>
      </c>
      <c r="AD78" s="40"/>
      <c r="AE78" s="42"/>
      <c r="AF78" s="42"/>
      <c r="AG78" s="36">
        <f>COUNTIF(AG65:AG74,"Patah")/10*100</f>
        <v>100</v>
      </c>
      <c r="AH78" s="36">
        <f>COUNTIF(AH65:AH74,"1")/10*100</f>
        <v>10</v>
      </c>
      <c r="AI78" s="36">
        <f>COUNTIF(AI65:AI74,"1")/10*100</f>
        <v>100</v>
      </c>
      <c r="AJ78" s="35"/>
      <c r="AK78" s="36">
        <f>COUNTIF(AK65:AK74,"5")/10*100</f>
        <v>60</v>
      </c>
      <c r="AL78" s="35"/>
      <c r="AM78" s="35"/>
      <c r="AN78" s="35"/>
      <c r="AO78" s="36">
        <f>COUNTIF(AO65:AO74,"Tersumbat")/10*100</f>
        <v>100</v>
      </c>
      <c r="AP78" s="84">
        <f>COUNTIF(AP65:AP74,"1")/10*100</f>
        <v>50</v>
      </c>
      <c r="AQ78" s="36">
        <f>COUNTIF(AQ65:AQ74,"1")/10*100</f>
        <v>100</v>
      </c>
      <c r="AR78" s="35"/>
      <c r="AS78" s="36">
        <f>COUNTIF(AS65:AS74,"5")/10*100</f>
        <v>40</v>
      </c>
      <c r="AT78" s="35"/>
      <c r="AU78" s="36">
        <f>COUNTIF(AU65:AU74,"Jaring")/10*100</f>
        <v>100</v>
      </c>
      <c r="AV78" s="35"/>
      <c r="AW78" s="35"/>
      <c r="AX78" s="36">
        <f>COUNTIF(AX65:AX74,"Tersangkut/robek")/10*100</f>
        <v>100</v>
      </c>
      <c r="AY78" s="84">
        <f>COUNTIF(AY65:AY74,"1")/10*100</f>
        <v>0</v>
      </c>
      <c r="AZ78" s="35"/>
      <c r="BA78" s="35"/>
      <c r="BB78" s="35"/>
      <c r="BC78" s="35"/>
      <c r="BD78" s="35"/>
      <c r="BE78" s="35"/>
      <c r="BF78" s="35"/>
      <c r="BG78" s="35"/>
      <c r="BH78" s="35"/>
      <c r="BI78" s="35"/>
      <c r="BJ78" s="35"/>
      <c r="BK78" s="35"/>
      <c r="BL78" s="35"/>
      <c r="BM78" s="35"/>
    </row>
    <row r="79" spans="1:65">
      <c r="A79" s="211"/>
      <c r="B79" s="46"/>
      <c r="C79" s="35"/>
      <c r="D79" s="84">
        <f>COUNTIF(D65:D74,"5")/10*100</f>
        <v>20</v>
      </c>
      <c r="E79" s="35"/>
      <c r="F79" s="35"/>
      <c r="G79" s="35"/>
      <c r="H79" s="35"/>
      <c r="I79" s="35"/>
      <c r="J79" s="35"/>
      <c r="K79" s="36">
        <f>COUNTIF(K65:K74,"2")/10*100</f>
        <v>80</v>
      </c>
      <c r="L79" s="35"/>
      <c r="M79" s="35"/>
      <c r="N79" s="35"/>
      <c r="O79" s="35"/>
      <c r="P79" s="35"/>
      <c r="Q79" s="35"/>
      <c r="R79" s="35"/>
      <c r="S79" s="35"/>
      <c r="T79" s="35"/>
      <c r="U79" s="35"/>
      <c r="V79" s="35"/>
      <c r="W79" s="35"/>
      <c r="X79" s="35"/>
      <c r="Y79" s="35"/>
      <c r="Z79" s="35"/>
      <c r="AA79" s="35"/>
      <c r="AB79" s="35"/>
      <c r="AC79" s="36">
        <f>COUNTIF(AC65:AC74,"4")/10*100</f>
        <v>40</v>
      </c>
      <c r="AD79" s="35"/>
      <c r="AE79" s="35"/>
      <c r="AF79" s="35"/>
      <c r="AG79" s="35"/>
      <c r="AH79" s="36">
        <f>COUNTIF(AH65:AH74,"2")/10*100</f>
        <v>0</v>
      </c>
      <c r="AI79" s="35"/>
      <c r="AJ79" s="35"/>
      <c r="AK79" s="36">
        <f>COUNTIF(AK65:AK74,"6")/10*100</f>
        <v>10</v>
      </c>
      <c r="AL79" s="35"/>
      <c r="AM79" s="35"/>
      <c r="AN79" s="35"/>
      <c r="AO79" s="35"/>
      <c r="AP79" s="84">
        <f>COUNTIF(AP65:AP74,"2")/10*100</f>
        <v>20</v>
      </c>
      <c r="AQ79" s="35"/>
      <c r="AR79" s="35"/>
      <c r="AS79" s="36">
        <f>COUNTIF(AS65:AS74,"6")/10*100</f>
        <v>40</v>
      </c>
      <c r="AT79" s="35"/>
      <c r="AU79" s="35"/>
      <c r="AV79" s="35"/>
      <c r="AW79" s="35"/>
      <c r="AX79" s="35"/>
      <c r="AY79" s="84">
        <f>COUNTIF(AY65:AY74,"2")/10*100</f>
        <v>0</v>
      </c>
      <c r="AZ79" s="35"/>
      <c r="BA79" s="35"/>
      <c r="BB79" s="35"/>
      <c r="BC79" s="35"/>
      <c r="BD79" s="35"/>
      <c r="BE79" s="35"/>
      <c r="BF79" s="35"/>
      <c r="BG79" s="35"/>
      <c r="BH79" s="35"/>
      <c r="BI79" s="35"/>
      <c r="BJ79" s="35"/>
      <c r="BK79" s="35"/>
      <c r="BL79" s="35"/>
      <c r="BM79" s="35"/>
    </row>
    <row r="80" spans="1:65">
      <c r="A80" s="211"/>
      <c r="B80" s="46"/>
      <c r="C80" s="35"/>
      <c r="D80" s="84">
        <f>COUNTIF(D65:D74,"6")/10*100</f>
        <v>20</v>
      </c>
      <c r="E80" s="35"/>
      <c r="F80" s="35"/>
      <c r="G80" s="35"/>
      <c r="H80" s="35"/>
      <c r="I80" s="35"/>
      <c r="J80" s="35"/>
      <c r="K80" s="35"/>
      <c r="L80" s="35"/>
      <c r="M80" s="35"/>
      <c r="N80" s="35"/>
      <c r="O80" s="35"/>
      <c r="P80" s="35"/>
      <c r="Q80" s="35"/>
      <c r="R80" s="35"/>
      <c r="S80" s="35"/>
      <c r="T80" s="35"/>
      <c r="U80" s="35"/>
      <c r="V80" s="35"/>
      <c r="W80" s="35"/>
      <c r="X80" s="35"/>
      <c r="Y80" s="35"/>
      <c r="Z80" s="35"/>
      <c r="AA80" s="35"/>
      <c r="AB80" s="35"/>
      <c r="AC80" s="36">
        <f>COUNTIF(AC65:AC74,"5")/10*100</f>
        <v>30</v>
      </c>
      <c r="AD80" s="35"/>
      <c r="AE80" s="35"/>
      <c r="AF80" s="35"/>
      <c r="AG80" s="35"/>
      <c r="AH80" s="36">
        <f>COUNTIF(AH65:AH74,"3")/10*100</f>
        <v>0</v>
      </c>
      <c r="AI80" s="35"/>
      <c r="AJ80" s="35"/>
      <c r="AK80" s="36">
        <f>COUNTIF(AK65:AK74,"7")/10*100</f>
        <v>20</v>
      </c>
      <c r="AL80" s="35"/>
      <c r="AM80" s="35"/>
      <c r="AN80" s="35"/>
      <c r="AO80" s="35"/>
      <c r="AP80" s="84">
        <f>COUNTIF(AP65:AP74,"3")/10*100</f>
        <v>30</v>
      </c>
      <c r="AQ80" s="35"/>
      <c r="AR80" s="35"/>
      <c r="AS80" s="36">
        <f>COUNTIF(AS65:AS74,"7")/10*100</f>
        <v>20</v>
      </c>
      <c r="AT80" s="35"/>
      <c r="AU80" s="35"/>
      <c r="AV80" s="35"/>
      <c r="AW80" s="35"/>
      <c r="AX80" s="35"/>
      <c r="AY80" s="84">
        <f>COUNTIF(AY65:AY74,"3")/10*100</f>
        <v>0</v>
      </c>
      <c r="AZ80" s="35"/>
      <c r="BA80" s="35"/>
      <c r="BB80" s="35"/>
      <c r="BC80" s="35"/>
      <c r="BD80" s="35"/>
      <c r="BE80" s="35"/>
      <c r="BF80" s="35"/>
      <c r="BG80" s="35"/>
      <c r="BH80" s="35"/>
      <c r="BI80" s="35"/>
      <c r="BJ80" s="35"/>
      <c r="BK80" s="35"/>
      <c r="BL80" s="35"/>
      <c r="BM80" s="35"/>
    </row>
    <row r="81" spans="1:65">
      <c r="A81" s="211"/>
      <c r="B81" s="46"/>
      <c r="C81" s="35"/>
      <c r="D81" s="84">
        <f>COUNTIF(D65:D74,"7")/10*100</f>
        <v>40</v>
      </c>
      <c r="E81" s="35"/>
      <c r="F81" s="35"/>
      <c r="G81" s="35"/>
      <c r="H81" s="35"/>
      <c r="I81" s="35"/>
      <c r="J81" s="35"/>
      <c r="K81" s="35"/>
      <c r="L81" s="35"/>
      <c r="M81" s="35"/>
      <c r="N81" s="35"/>
      <c r="O81" s="35"/>
      <c r="P81" s="35"/>
      <c r="Q81" s="35"/>
      <c r="R81" s="35"/>
      <c r="S81" s="35"/>
      <c r="T81" s="35"/>
      <c r="U81" s="35"/>
      <c r="V81" s="35"/>
      <c r="W81" s="35"/>
      <c r="X81" s="35"/>
      <c r="Y81" s="35"/>
      <c r="Z81" s="35"/>
      <c r="AA81" s="35"/>
      <c r="AB81" s="35"/>
      <c r="AC81" s="36">
        <f>COUNTIF(AC65:AC74,"6")/10*100</f>
        <v>10</v>
      </c>
      <c r="AD81" s="35"/>
      <c r="AE81" s="35"/>
      <c r="AF81" s="35"/>
      <c r="AG81" s="35"/>
      <c r="AH81" s="36">
        <f>COUNTIF(AH65:AH74,"4")/10*100</f>
        <v>20</v>
      </c>
      <c r="AI81" s="35"/>
      <c r="AJ81" s="35"/>
      <c r="AK81" s="36">
        <f>COUNTIF(AK65:AK74,"8")/10*100</f>
        <v>10</v>
      </c>
      <c r="AL81" s="35"/>
      <c r="AM81" s="35"/>
      <c r="AN81" s="35"/>
      <c r="AO81" s="35"/>
      <c r="AP81" s="84">
        <f>COUNTIF(AP65:AP74,"4")/10*100</f>
        <v>0</v>
      </c>
      <c r="AQ81" s="35"/>
      <c r="AR81" s="35"/>
      <c r="AS81" s="35"/>
      <c r="AT81" s="35"/>
      <c r="AU81" s="35"/>
      <c r="AV81" s="35"/>
      <c r="AW81" s="35"/>
      <c r="AX81" s="35"/>
      <c r="AY81" s="84">
        <f>COUNTIF(AY65:AY74,"4")/10*100</f>
        <v>30</v>
      </c>
      <c r="AZ81" s="35"/>
      <c r="BA81" s="35"/>
      <c r="BB81" s="35"/>
      <c r="BC81" s="35"/>
      <c r="BD81" s="35"/>
      <c r="BE81" s="35"/>
      <c r="BF81" s="35"/>
      <c r="BG81" s="35"/>
      <c r="BH81" s="35"/>
      <c r="BI81" s="35"/>
      <c r="BJ81" s="35"/>
      <c r="BK81" s="35"/>
      <c r="BL81" s="35"/>
      <c r="BM81" s="35"/>
    </row>
    <row r="82" spans="1:65">
      <c r="A82" s="211"/>
      <c r="B82" s="46"/>
      <c r="C82" s="35"/>
      <c r="D82" s="36"/>
      <c r="E82" s="35"/>
      <c r="F82" s="35"/>
      <c r="G82" s="35"/>
      <c r="H82" s="35"/>
      <c r="I82" s="35"/>
      <c r="J82" s="35"/>
      <c r="K82" s="35"/>
      <c r="L82" s="35"/>
      <c r="M82" s="35"/>
      <c r="N82" s="35"/>
      <c r="O82" s="35"/>
      <c r="P82" s="35"/>
      <c r="Q82" s="35"/>
      <c r="R82" s="35"/>
      <c r="S82" s="35"/>
      <c r="T82" s="35"/>
      <c r="U82" s="35"/>
      <c r="V82" s="35"/>
      <c r="W82" s="35"/>
      <c r="X82" s="35"/>
      <c r="Y82" s="35"/>
      <c r="Z82" s="35"/>
      <c r="AA82" s="35"/>
      <c r="AB82" s="35"/>
      <c r="AC82" s="36"/>
      <c r="AD82" s="35"/>
      <c r="AE82" s="35"/>
      <c r="AF82" s="35"/>
      <c r="AG82" s="35"/>
      <c r="AH82" s="36">
        <f>COUNTIF(AH65:AH74,"5")/10*100</f>
        <v>50</v>
      </c>
      <c r="AI82" s="35"/>
      <c r="AJ82" s="35"/>
      <c r="AK82" s="36"/>
      <c r="AL82" s="35"/>
      <c r="AM82" s="35"/>
      <c r="AN82" s="35"/>
      <c r="AO82" s="35"/>
      <c r="AP82" s="84">
        <f>COUNTIF(AP65:AP74,"5")/10*100</f>
        <v>0</v>
      </c>
      <c r="AQ82" s="35"/>
      <c r="AR82" s="35"/>
      <c r="AS82" s="35"/>
      <c r="AT82" s="35"/>
      <c r="AU82" s="35"/>
      <c r="AV82" s="35"/>
      <c r="AW82" s="35"/>
      <c r="AX82" s="35"/>
      <c r="AY82" s="84">
        <f>COUNTIF(AY65:AY74,"5")/10*100</f>
        <v>20</v>
      </c>
      <c r="AZ82" s="35"/>
      <c r="BA82" s="35"/>
      <c r="BB82" s="35"/>
      <c r="BC82" s="35"/>
      <c r="BD82" s="35"/>
      <c r="BE82" s="35"/>
      <c r="BF82" s="35"/>
      <c r="BG82" s="35"/>
      <c r="BH82" s="35"/>
      <c r="BI82" s="35"/>
      <c r="BJ82" s="35"/>
      <c r="BK82" s="35"/>
      <c r="BL82" s="35"/>
      <c r="BM82" s="35"/>
    </row>
    <row r="83" spans="1:65">
      <c r="A83" s="211"/>
      <c r="B83" s="46"/>
      <c r="C83" s="35"/>
      <c r="D83" s="36"/>
      <c r="E83" s="35"/>
      <c r="F83" s="35"/>
      <c r="G83" s="35"/>
      <c r="H83" s="35"/>
      <c r="I83" s="35"/>
      <c r="J83" s="35"/>
      <c r="K83" s="35"/>
      <c r="L83" s="35"/>
      <c r="M83" s="35"/>
      <c r="N83" s="35"/>
      <c r="O83" s="35"/>
      <c r="P83" s="35"/>
      <c r="Q83" s="35"/>
      <c r="R83" s="35"/>
      <c r="S83" s="35"/>
      <c r="T83" s="35"/>
      <c r="U83" s="35"/>
      <c r="V83" s="35"/>
      <c r="W83" s="35"/>
      <c r="X83" s="35"/>
      <c r="Y83" s="35"/>
      <c r="Z83" s="35"/>
      <c r="AA83" s="35"/>
      <c r="AB83" s="35"/>
      <c r="AC83" s="36"/>
      <c r="AD83" s="35"/>
      <c r="AE83" s="35"/>
      <c r="AF83" s="35"/>
      <c r="AG83" s="35"/>
      <c r="AH83" s="36">
        <f>COUNTIF(AH65:AH74,"6")/10*100</f>
        <v>20</v>
      </c>
      <c r="AI83" s="35"/>
      <c r="AJ83" s="35"/>
      <c r="AK83" s="36"/>
      <c r="AL83" s="35"/>
      <c r="AM83" s="35"/>
      <c r="AN83" s="35"/>
      <c r="AO83" s="35"/>
      <c r="AP83" s="84">
        <f>COUNTIF(AP65:AP74,"6")/10*100</f>
        <v>0</v>
      </c>
      <c r="AQ83" s="35"/>
      <c r="AR83" s="35"/>
      <c r="AS83" s="35"/>
      <c r="AT83" s="35"/>
      <c r="AU83" s="35"/>
      <c r="AV83" s="35"/>
      <c r="AW83" s="35"/>
      <c r="AX83" s="35"/>
      <c r="AY83" s="84">
        <f>COUNTIF(AY65:AY74,"6")/10*100</f>
        <v>50</v>
      </c>
      <c r="AZ83" s="35"/>
      <c r="BA83" s="35"/>
      <c r="BB83" s="35"/>
      <c r="BC83" s="35"/>
      <c r="BD83" s="35"/>
      <c r="BE83" s="35"/>
      <c r="BF83" s="35"/>
      <c r="BG83" s="35"/>
      <c r="BH83" s="35"/>
      <c r="BI83" s="35"/>
      <c r="BJ83" s="35"/>
      <c r="BK83" s="35"/>
      <c r="BL83" s="35"/>
      <c r="BM83" s="35"/>
    </row>
    <row r="84" spans="1:65">
      <c r="A84" s="212"/>
      <c r="B84" s="46"/>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row>
    <row r="85" spans="1:65">
      <c r="A85" s="6" t="s">
        <v>61</v>
      </c>
      <c r="B85" s="7" t="s">
        <v>124</v>
      </c>
      <c r="C85" s="6">
        <v>1</v>
      </c>
      <c r="D85" s="6">
        <v>6</v>
      </c>
      <c r="E85" s="12">
        <f>C85/D85</f>
        <v>0.16666666666666666</v>
      </c>
      <c r="F85" s="6">
        <v>70</v>
      </c>
      <c r="G85" s="6">
        <v>5</v>
      </c>
      <c r="H85" s="6">
        <v>45</v>
      </c>
      <c r="I85" s="28">
        <f>5000*H85</f>
        <v>225000</v>
      </c>
      <c r="J85" s="28">
        <v>5200000</v>
      </c>
      <c r="K85" s="6">
        <v>2</v>
      </c>
      <c r="L85" s="6">
        <v>75</v>
      </c>
      <c r="M85" s="6">
        <v>5.5</v>
      </c>
      <c r="N85" s="6">
        <v>47</v>
      </c>
      <c r="O85" s="28">
        <f>5000*N85</f>
        <v>235000</v>
      </c>
      <c r="P85" s="28">
        <v>5400000</v>
      </c>
      <c r="Q85" s="94">
        <f>L85-F85</f>
        <v>5</v>
      </c>
      <c r="R85" s="94">
        <f>M85-G85</f>
        <v>0.5</v>
      </c>
      <c r="S85" s="94">
        <f>N85-H85</f>
        <v>2</v>
      </c>
      <c r="T85" s="93">
        <f>O85-I85</f>
        <v>10000</v>
      </c>
      <c r="U85" s="93">
        <f>P85-J85</f>
        <v>200000</v>
      </c>
      <c r="V85" s="94">
        <f>Q85/F85*100</f>
        <v>7.1428571428571423</v>
      </c>
      <c r="W85" s="94">
        <f>R85/M85*100</f>
        <v>9.0909090909090917</v>
      </c>
      <c r="X85" s="94">
        <f>S86/N85*100</f>
        <v>6.3829787234042552</v>
      </c>
      <c r="Y85" s="94">
        <f>T85/I85*100</f>
        <v>4.4444444444444446</v>
      </c>
      <c r="Z85" s="94">
        <f>U85/J85*100</f>
        <v>3.8461538461538463</v>
      </c>
      <c r="AA85" s="6">
        <v>1</v>
      </c>
      <c r="AB85" s="6">
        <v>1</v>
      </c>
      <c r="AC85" s="6">
        <v>5</v>
      </c>
      <c r="AD85" s="12">
        <f>AB85/AC85</f>
        <v>0.2</v>
      </c>
      <c r="AE85" s="28">
        <v>1500000</v>
      </c>
      <c r="AF85" s="28">
        <f>AD85*AE85</f>
        <v>300000</v>
      </c>
      <c r="AG85" s="6" t="s">
        <v>212</v>
      </c>
      <c r="AH85" s="6">
        <v>5</v>
      </c>
      <c r="AI85" s="6">
        <v>1</v>
      </c>
      <c r="AJ85" s="6">
        <v>1</v>
      </c>
      <c r="AK85" s="6">
        <v>8</v>
      </c>
      <c r="AL85" s="12">
        <f>AJ85/AK85</f>
        <v>0.125</v>
      </c>
      <c r="AM85" s="28">
        <v>4000000</v>
      </c>
      <c r="AN85" s="30">
        <f>AL85*AM85</f>
        <v>500000</v>
      </c>
      <c r="AO85" s="6" t="s">
        <v>210</v>
      </c>
      <c r="AP85" s="6">
        <v>1</v>
      </c>
      <c r="AQ85" s="6">
        <v>1</v>
      </c>
      <c r="AR85" s="6">
        <v>1</v>
      </c>
      <c r="AS85" s="6">
        <v>5</v>
      </c>
      <c r="AT85" s="12">
        <f>AR85/AS85</f>
        <v>0.2</v>
      </c>
      <c r="AU85" s="6" t="s">
        <v>208</v>
      </c>
      <c r="AV85" s="28">
        <v>3000000</v>
      </c>
      <c r="AW85" s="30">
        <f>AT85*AV85</f>
        <v>600000</v>
      </c>
      <c r="AX85" s="6" t="s">
        <v>213</v>
      </c>
      <c r="AY85" s="6">
        <v>4</v>
      </c>
      <c r="AZ85" s="34">
        <v>1300</v>
      </c>
      <c r="BA85" s="34">
        <v>1100</v>
      </c>
      <c r="BB85" s="109">
        <f>(BA85-AZ85)/AZ85*100</f>
        <v>-15.384615384615385</v>
      </c>
      <c r="BC85" s="31">
        <f t="shared" ref="BC85:BC94" si="156">I85+J85</f>
        <v>5425000</v>
      </c>
      <c r="BD85" s="31">
        <f t="shared" ref="BD85:BD94" si="157">O85+P85+AF85+AN85+AW85</f>
        <v>7035000</v>
      </c>
      <c r="BE85" s="31">
        <f>(BD85-BC85)/BC85*100</f>
        <v>29.677419354838708</v>
      </c>
      <c r="BF85" s="6">
        <v>100</v>
      </c>
      <c r="BG85" s="28">
        <v>150000000</v>
      </c>
      <c r="BH85" s="28">
        <v>140000000</v>
      </c>
      <c r="BI85" s="94">
        <f>(BH85-BG85)/BG85*100</f>
        <v>-6.666666666666667</v>
      </c>
      <c r="BJ85" s="31">
        <f>BG85-BD85</f>
        <v>142965000</v>
      </c>
      <c r="BK85" s="31">
        <f>BH85-BD85</f>
        <v>132965000</v>
      </c>
      <c r="BL85" s="31">
        <f>BK85-BJ85</f>
        <v>-10000000</v>
      </c>
      <c r="BM85" s="12">
        <f>BL85/BJ85*100</f>
        <v>-6.9947189871646902</v>
      </c>
    </row>
    <row r="86" spans="1:65">
      <c r="A86" s="6" t="s">
        <v>62</v>
      </c>
      <c r="B86" s="7" t="s">
        <v>125</v>
      </c>
      <c r="C86" s="6">
        <v>1</v>
      </c>
      <c r="D86" s="6">
        <v>5</v>
      </c>
      <c r="E86" s="12">
        <f t="shared" ref="E86:E94" si="158">C86/D86</f>
        <v>0.2</v>
      </c>
      <c r="F86" s="6">
        <v>89</v>
      </c>
      <c r="G86" s="6">
        <v>4</v>
      </c>
      <c r="H86" s="6">
        <v>60</v>
      </c>
      <c r="I86" s="28">
        <f t="shared" ref="I86:I94" si="159">5000*H86</f>
        <v>300000</v>
      </c>
      <c r="J86" s="28">
        <v>4300000</v>
      </c>
      <c r="K86" s="6">
        <v>2</v>
      </c>
      <c r="L86" s="6">
        <v>90</v>
      </c>
      <c r="M86" s="6">
        <v>5</v>
      </c>
      <c r="N86" s="6">
        <v>63</v>
      </c>
      <c r="O86" s="28">
        <f t="shared" ref="O86:O94" si="160">5000*N86</f>
        <v>315000</v>
      </c>
      <c r="P86" s="28">
        <v>4500000</v>
      </c>
      <c r="Q86" s="94">
        <f t="shared" ref="Q86:Q94" si="161">L86-F86</f>
        <v>1</v>
      </c>
      <c r="R86" s="94">
        <f t="shared" ref="R86:R94" si="162">M86-G86</f>
        <v>1</v>
      </c>
      <c r="S86" s="94">
        <f t="shared" ref="S86:S94" si="163">N86-H86</f>
        <v>3</v>
      </c>
      <c r="T86" s="93">
        <f t="shared" ref="T86:T94" si="164">O86-I86</f>
        <v>15000</v>
      </c>
      <c r="U86" s="93">
        <f t="shared" ref="U86:U94" si="165">P86-J86</f>
        <v>200000</v>
      </c>
      <c r="V86" s="94">
        <f t="shared" ref="V86:V94" si="166">Q86/F86*100</f>
        <v>1.1235955056179776</v>
      </c>
      <c r="W86" s="94">
        <f t="shared" ref="W86:W94" si="167">R86/M86*100</f>
        <v>20</v>
      </c>
      <c r="X86" s="94">
        <f t="shared" ref="X86:X94" si="168">S87/N86*100</f>
        <v>6.3492063492063489</v>
      </c>
      <c r="Y86" s="94">
        <f t="shared" ref="Y86:Y94" si="169">T86/I86*100</f>
        <v>5</v>
      </c>
      <c r="Z86" s="94">
        <f t="shared" ref="Z86:Z94" si="170">U86/J86*100</f>
        <v>4.6511627906976747</v>
      </c>
      <c r="AA86" s="6">
        <v>1</v>
      </c>
      <c r="AB86" s="6">
        <v>1</v>
      </c>
      <c r="AC86" s="6">
        <v>6</v>
      </c>
      <c r="AD86" s="12">
        <f t="shared" ref="AD86:AD94" si="171">AB86/AC86</f>
        <v>0.16666666666666666</v>
      </c>
      <c r="AE86" s="28">
        <v>2000000</v>
      </c>
      <c r="AF86" s="28">
        <f t="shared" ref="AF86:AF94" si="172">AD86*AE86</f>
        <v>333333.33333333331</v>
      </c>
      <c r="AG86" s="6" t="s">
        <v>212</v>
      </c>
      <c r="AH86" s="6">
        <v>4</v>
      </c>
      <c r="AI86" s="6">
        <v>1</v>
      </c>
      <c r="AJ86" s="6">
        <v>1</v>
      </c>
      <c r="AK86" s="6">
        <v>7</v>
      </c>
      <c r="AL86" s="12">
        <f t="shared" ref="AL86:AL94" si="173">AJ86/AK86</f>
        <v>0.14285714285714285</v>
      </c>
      <c r="AM86" s="28">
        <v>5000000</v>
      </c>
      <c r="AN86" s="30">
        <f t="shared" ref="AN86:AN94" si="174">AL86*AM86</f>
        <v>714285.7142857142</v>
      </c>
      <c r="AO86" s="6" t="s">
        <v>210</v>
      </c>
      <c r="AP86" s="6">
        <v>1</v>
      </c>
      <c r="AQ86" s="6">
        <v>1</v>
      </c>
      <c r="AR86" s="6">
        <v>1</v>
      </c>
      <c r="AS86" s="6">
        <v>6</v>
      </c>
      <c r="AT86" s="12">
        <f t="shared" ref="AT86:AT94" si="175">AR86/AS86</f>
        <v>0.16666666666666666</v>
      </c>
      <c r="AU86" s="6" t="s">
        <v>208</v>
      </c>
      <c r="AV86" s="28">
        <v>2500000</v>
      </c>
      <c r="AW86" s="30">
        <f t="shared" ref="AW86:AW94" si="176">AT86*AV86</f>
        <v>416666.66666666663</v>
      </c>
      <c r="AX86" s="6" t="s">
        <v>213</v>
      </c>
      <c r="AY86" s="6">
        <v>4</v>
      </c>
      <c r="AZ86" s="34">
        <v>1000</v>
      </c>
      <c r="BA86" s="34">
        <v>980</v>
      </c>
      <c r="BB86" s="109">
        <f t="shared" ref="BB86:BB94" si="177">(BA86-AZ86)/AZ86*100</f>
        <v>-2</v>
      </c>
      <c r="BC86" s="31">
        <f t="shared" si="156"/>
        <v>4600000</v>
      </c>
      <c r="BD86" s="31">
        <f t="shared" si="157"/>
        <v>6279285.7142857146</v>
      </c>
      <c r="BE86" s="31">
        <f t="shared" ref="BE86:BE94" si="178">(BD86-BC86)/BC86*100</f>
        <v>36.506211180124232</v>
      </c>
      <c r="BF86" s="6">
        <v>120</v>
      </c>
      <c r="BG86" s="28">
        <v>110000000</v>
      </c>
      <c r="BH86" s="28">
        <v>105000000</v>
      </c>
      <c r="BI86" s="94">
        <f t="shared" ref="BI86:BI94" si="179">(BH86-BG86)/BG86*100</f>
        <v>-4.5454545454545459</v>
      </c>
      <c r="BJ86" s="31">
        <f t="shared" ref="BJ86:BJ94" si="180">BG86-BD86</f>
        <v>103720714.28571428</v>
      </c>
      <c r="BK86" s="31">
        <f t="shared" ref="BK86:BK94" si="181">BH86-BD86</f>
        <v>98720714.285714284</v>
      </c>
      <c r="BL86" s="31">
        <f t="shared" ref="BL86:BL94" si="182">BK86-BJ86</f>
        <v>-5000000</v>
      </c>
      <c r="BM86" s="12">
        <f t="shared" ref="BM86:BM94" si="183">BL86/BJ86*100</f>
        <v>-4.8206378392523881</v>
      </c>
    </row>
    <row r="87" spans="1:65">
      <c r="A87" s="6" t="s">
        <v>63</v>
      </c>
      <c r="B87" s="7" t="s">
        <v>126</v>
      </c>
      <c r="C87" s="6">
        <v>1</v>
      </c>
      <c r="D87" s="6">
        <v>8</v>
      </c>
      <c r="E87" s="12">
        <f t="shared" si="158"/>
        <v>0.125</v>
      </c>
      <c r="F87" s="6">
        <v>95</v>
      </c>
      <c r="G87" s="6">
        <v>4</v>
      </c>
      <c r="H87" s="6">
        <v>58</v>
      </c>
      <c r="I87" s="28">
        <f t="shared" si="159"/>
        <v>290000</v>
      </c>
      <c r="J87" s="28">
        <v>5000000</v>
      </c>
      <c r="K87" s="6">
        <v>2</v>
      </c>
      <c r="L87" s="6">
        <v>100</v>
      </c>
      <c r="M87" s="6">
        <v>6</v>
      </c>
      <c r="N87" s="6">
        <v>62</v>
      </c>
      <c r="O87" s="28">
        <f t="shared" si="160"/>
        <v>310000</v>
      </c>
      <c r="P87" s="28">
        <v>5500000</v>
      </c>
      <c r="Q87" s="94">
        <f t="shared" si="161"/>
        <v>5</v>
      </c>
      <c r="R87" s="94">
        <f t="shared" si="162"/>
        <v>2</v>
      </c>
      <c r="S87" s="94">
        <f t="shared" si="163"/>
        <v>4</v>
      </c>
      <c r="T87" s="93">
        <f t="shared" si="164"/>
        <v>20000</v>
      </c>
      <c r="U87" s="93">
        <f t="shared" si="165"/>
        <v>500000</v>
      </c>
      <c r="V87" s="94">
        <f t="shared" si="166"/>
        <v>5.2631578947368416</v>
      </c>
      <c r="W87" s="94">
        <f t="shared" si="167"/>
        <v>33.333333333333329</v>
      </c>
      <c r="X87" s="94">
        <f t="shared" si="168"/>
        <v>24.193548387096776</v>
      </c>
      <c r="Y87" s="94">
        <f t="shared" si="169"/>
        <v>6.8965517241379306</v>
      </c>
      <c r="Z87" s="94">
        <f t="shared" si="170"/>
        <v>10</v>
      </c>
      <c r="AA87" s="6">
        <v>1</v>
      </c>
      <c r="AB87" s="6">
        <v>1</v>
      </c>
      <c r="AC87" s="6">
        <v>5</v>
      </c>
      <c r="AD87" s="12">
        <f t="shared" si="171"/>
        <v>0.2</v>
      </c>
      <c r="AE87" s="28">
        <v>1800000</v>
      </c>
      <c r="AF87" s="28">
        <f t="shared" si="172"/>
        <v>360000</v>
      </c>
      <c r="AG87" s="6" t="s">
        <v>212</v>
      </c>
      <c r="AH87" s="6">
        <v>4</v>
      </c>
      <c r="AI87" s="6">
        <v>1</v>
      </c>
      <c r="AJ87" s="6">
        <v>1</v>
      </c>
      <c r="AK87" s="6">
        <v>6</v>
      </c>
      <c r="AL87" s="12">
        <f t="shared" si="173"/>
        <v>0.16666666666666666</v>
      </c>
      <c r="AM87" s="28">
        <v>4500000</v>
      </c>
      <c r="AN87" s="30">
        <f t="shared" si="174"/>
        <v>750000</v>
      </c>
      <c r="AO87" s="6" t="s">
        <v>210</v>
      </c>
      <c r="AP87" s="6">
        <v>1</v>
      </c>
      <c r="AQ87" s="6">
        <v>1</v>
      </c>
      <c r="AR87" s="6">
        <v>1</v>
      </c>
      <c r="AS87" s="6">
        <v>5</v>
      </c>
      <c r="AT87" s="12">
        <f t="shared" si="175"/>
        <v>0.2</v>
      </c>
      <c r="AU87" s="6" t="s">
        <v>208</v>
      </c>
      <c r="AV87" s="28">
        <v>2800000</v>
      </c>
      <c r="AW87" s="30">
        <f t="shared" si="176"/>
        <v>560000</v>
      </c>
      <c r="AX87" s="6" t="s">
        <v>213</v>
      </c>
      <c r="AY87" s="6">
        <v>5</v>
      </c>
      <c r="AZ87" s="34">
        <v>1200</v>
      </c>
      <c r="BA87" s="34">
        <v>1000</v>
      </c>
      <c r="BB87" s="109">
        <f t="shared" si="177"/>
        <v>-16.666666666666664</v>
      </c>
      <c r="BC87" s="31">
        <f t="shared" si="156"/>
        <v>5290000</v>
      </c>
      <c r="BD87" s="31">
        <f t="shared" si="157"/>
        <v>7480000</v>
      </c>
      <c r="BE87" s="31">
        <f t="shared" si="178"/>
        <v>41.398865784499058</v>
      </c>
      <c r="BF87" s="6">
        <v>100</v>
      </c>
      <c r="BG87" s="28">
        <v>135000000</v>
      </c>
      <c r="BH87" s="28">
        <v>130000000</v>
      </c>
      <c r="BI87" s="94">
        <f t="shared" si="179"/>
        <v>-3.7037037037037033</v>
      </c>
      <c r="BJ87" s="31">
        <f t="shared" si="180"/>
        <v>127520000</v>
      </c>
      <c r="BK87" s="31">
        <f t="shared" si="181"/>
        <v>122520000</v>
      </c>
      <c r="BL87" s="31">
        <f t="shared" si="182"/>
        <v>-5000000</v>
      </c>
      <c r="BM87" s="12">
        <f t="shared" si="183"/>
        <v>-3.9209535759096616</v>
      </c>
    </row>
    <row r="88" spans="1:65">
      <c r="A88" s="6" t="s">
        <v>64</v>
      </c>
      <c r="B88" s="7" t="s">
        <v>127</v>
      </c>
      <c r="C88" s="6">
        <v>1</v>
      </c>
      <c r="D88" s="6">
        <v>7</v>
      </c>
      <c r="E88" s="12">
        <f t="shared" si="158"/>
        <v>0.14285714285714285</v>
      </c>
      <c r="F88" s="6">
        <v>100</v>
      </c>
      <c r="G88" s="6">
        <v>6</v>
      </c>
      <c r="H88" s="6">
        <v>60</v>
      </c>
      <c r="I88" s="28">
        <f t="shared" si="159"/>
        <v>300000</v>
      </c>
      <c r="J88" s="28">
        <v>5900000</v>
      </c>
      <c r="K88" s="6">
        <v>2</v>
      </c>
      <c r="L88" s="6">
        <v>112</v>
      </c>
      <c r="M88" s="6">
        <v>8</v>
      </c>
      <c r="N88" s="6">
        <v>75</v>
      </c>
      <c r="O88" s="28">
        <f t="shared" si="160"/>
        <v>375000</v>
      </c>
      <c r="P88" s="28">
        <v>6000000</v>
      </c>
      <c r="Q88" s="94">
        <f t="shared" si="161"/>
        <v>12</v>
      </c>
      <c r="R88" s="94">
        <f t="shared" si="162"/>
        <v>2</v>
      </c>
      <c r="S88" s="94">
        <f t="shared" si="163"/>
        <v>15</v>
      </c>
      <c r="T88" s="93">
        <f t="shared" si="164"/>
        <v>75000</v>
      </c>
      <c r="U88" s="93">
        <f t="shared" si="165"/>
        <v>100000</v>
      </c>
      <c r="V88" s="94">
        <f t="shared" si="166"/>
        <v>12</v>
      </c>
      <c r="W88" s="94">
        <f t="shared" si="167"/>
        <v>25</v>
      </c>
      <c r="X88" s="94">
        <f t="shared" si="168"/>
        <v>4</v>
      </c>
      <c r="Y88" s="94">
        <f t="shared" si="169"/>
        <v>25</v>
      </c>
      <c r="Z88" s="94">
        <f t="shared" si="170"/>
        <v>1.6949152542372881</v>
      </c>
      <c r="AA88" s="6">
        <v>1</v>
      </c>
      <c r="AB88" s="6">
        <v>1</v>
      </c>
      <c r="AC88" s="6">
        <v>6</v>
      </c>
      <c r="AD88" s="12">
        <f t="shared" si="171"/>
        <v>0.16666666666666666</v>
      </c>
      <c r="AE88" s="28">
        <v>2500000</v>
      </c>
      <c r="AF88" s="28">
        <f t="shared" si="172"/>
        <v>416666.66666666663</v>
      </c>
      <c r="AG88" s="6" t="s">
        <v>212</v>
      </c>
      <c r="AH88" s="6">
        <v>4</v>
      </c>
      <c r="AI88" s="6">
        <v>1</v>
      </c>
      <c r="AJ88" s="6">
        <v>1</v>
      </c>
      <c r="AK88" s="6">
        <v>7</v>
      </c>
      <c r="AL88" s="12">
        <f t="shared" si="173"/>
        <v>0.14285714285714285</v>
      </c>
      <c r="AM88" s="28">
        <v>5200000</v>
      </c>
      <c r="AN88" s="30">
        <f t="shared" si="174"/>
        <v>742857.14285714284</v>
      </c>
      <c r="AO88" s="6" t="s">
        <v>210</v>
      </c>
      <c r="AP88" s="6">
        <v>3</v>
      </c>
      <c r="AQ88" s="6">
        <v>1</v>
      </c>
      <c r="AR88" s="6">
        <v>1</v>
      </c>
      <c r="AS88" s="6">
        <v>5</v>
      </c>
      <c r="AT88" s="12">
        <f t="shared" si="175"/>
        <v>0.2</v>
      </c>
      <c r="AU88" s="6" t="s">
        <v>208</v>
      </c>
      <c r="AV88" s="28">
        <v>2400000</v>
      </c>
      <c r="AW88" s="30">
        <f t="shared" si="176"/>
        <v>480000</v>
      </c>
      <c r="AX88" s="6" t="s">
        <v>213</v>
      </c>
      <c r="AY88" s="6">
        <v>5</v>
      </c>
      <c r="AZ88" s="34">
        <v>980</v>
      </c>
      <c r="BA88" s="34">
        <v>920</v>
      </c>
      <c r="BB88" s="109">
        <f t="shared" si="177"/>
        <v>-6.1224489795918364</v>
      </c>
      <c r="BC88" s="31">
        <f t="shared" si="156"/>
        <v>6200000</v>
      </c>
      <c r="BD88" s="31">
        <f t="shared" si="157"/>
        <v>8014523.8095238097</v>
      </c>
      <c r="BE88" s="31">
        <f t="shared" si="178"/>
        <v>29.266513056835642</v>
      </c>
      <c r="BF88" s="6">
        <v>95</v>
      </c>
      <c r="BG88" s="28">
        <v>170000000</v>
      </c>
      <c r="BH88" s="28">
        <v>155000000</v>
      </c>
      <c r="BI88" s="94">
        <f t="shared" si="179"/>
        <v>-8.8235294117647065</v>
      </c>
      <c r="BJ88" s="31">
        <f t="shared" si="180"/>
        <v>161985476.19047618</v>
      </c>
      <c r="BK88" s="31">
        <f t="shared" si="181"/>
        <v>146985476.19047618</v>
      </c>
      <c r="BL88" s="31">
        <f t="shared" si="182"/>
        <v>-15000000</v>
      </c>
      <c r="BM88" s="12">
        <f t="shared" si="183"/>
        <v>-9.2600894554038504</v>
      </c>
    </row>
    <row r="89" spans="1:65">
      <c r="A89" s="6" t="s">
        <v>65</v>
      </c>
      <c r="B89" s="7" t="s">
        <v>128</v>
      </c>
      <c r="C89" s="6">
        <v>1</v>
      </c>
      <c r="D89" s="6">
        <v>8</v>
      </c>
      <c r="E89" s="12">
        <f t="shared" si="158"/>
        <v>0.125</v>
      </c>
      <c r="F89" s="6">
        <v>101</v>
      </c>
      <c r="G89" s="6">
        <v>7</v>
      </c>
      <c r="H89" s="6">
        <v>70</v>
      </c>
      <c r="I89" s="28">
        <f t="shared" si="159"/>
        <v>350000</v>
      </c>
      <c r="J89" s="28">
        <v>5500000</v>
      </c>
      <c r="K89" s="6">
        <v>2</v>
      </c>
      <c r="L89" s="6">
        <v>110</v>
      </c>
      <c r="M89" s="6">
        <v>8.5</v>
      </c>
      <c r="N89" s="6">
        <v>73</v>
      </c>
      <c r="O89" s="28">
        <f t="shared" si="160"/>
        <v>365000</v>
      </c>
      <c r="P89" s="28">
        <v>6000000</v>
      </c>
      <c r="Q89" s="94">
        <f t="shared" si="161"/>
        <v>9</v>
      </c>
      <c r="R89" s="94">
        <f t="shared" si="162"/>
        <v>1.5</v>
      </c>
      <c r="S89" s="94">
        <f t="shared" si="163"/>
        <v>3</v>
      </c>
      <c r="T89" s="93">
        <f t="shared" si="164"/>
        <v>15000</v>
      </c>
      <c r="U89" s="93">
        <f t="shared" si="165"/>
        <v>500000</v>
      </c>
      <c r="V89" s="94">
        <f t="shared" si="166"/>
        <v>8.9108910891089099</v>
      </c>
      <c r="W89" s="94">
        <f t="shared" si="167"/>
        <v>17.647058823529413</v>
      </c>
      <c r="X89" s="94">
        <f t="shared" si="168"/>
        <v>4.10958904109589</v>
      </c>
      <c r="Y89" s="94">
        <f t="shared" si="169"/>
        <v>4.2857142857142856</v>
      </c>
      <c r="Z89" s="94">
        <f t="shared" si="170"/>
        <v>9.0909090909090917</v>
      </c>
      <c r="AA89" s="6">
        <v>1</v>
      </c>
      <c r="AB89" s="6">
        <v>1</v>
      </c>
      <c r="AC89" s="6">
        <v>7</v>
      </c>
      <c r="AD89" s="12">
        <f t="shared" si="171"/>
        <v>0.14285714285714285</v>
      </c>
      <c r="AE89" s="28">
        <v>1700000</v>
      </c>
      <c r="AF89" s="28">
        <f t="shared" si="172"/>
        <v>242857.14285714284</v>
      </c>
      <c r="AG89" s="6" t="s">
        <v>212</v>
      </c>
      <c r="AH89" s="6">
        <v>6</v>
      </c>
      <c r="AI89" s="6">
        <v>1</v>
      </c>
      <c r="AJ89" s="6">
        <v>1</v>
      </c>
      <c r="AK89" s="6">
        <v>8</v>
      </c>
      <c r="AL89" s="12">
        <f t="shared" si="173"/>
        <v>0.125</v>
      </c>
      <c r="AM89" s="28">
        <v>4700000</v>
      </c>
      <c r="AN89" s="30">
        <f t="shared" si="174"/>
        <v>587500</v>
      </c>
      <c r="AO89" s="6" t="s">
        <v>210</v>
      </c>
      <c r="AP89" s="6">
        <v>1</v>
      </c>
      <c r="AQ89" s="6">
        <v>1</v>
      </c>
      <c r="AR89" s="6">
        <v>1</v>
      </c>
      <c r="AS89" s="6">
        <v>6</v>
      </c>
      <c r="AT89" s="12">
        <f t="shared" si="175"/>
        <v>0.16666666666666666</v>
      </c>
      <c r="AU89" s="6" t="s">
        <v>208</v>
      </c>
      <c r="AV89" s="28">
        <v>4000000</v>
      </c>
      <c r="AW89" s="30">
        <f t="shared" si="176"/>
        <v>666666.66666666663</v>
      </c>
      <c r="AX89" s="6" t="s">
        <v>213</v>
      </c>
      <c r="AY89" s="6">
        <v>4</v>
      </c>
      <c r="AZ89" s="34">
        <v>1300</v>
      </c>
      <c r="BA89" s="34">
        <v>1200</v>
      </c>
      <c r="BB89" s="109">
        <f t="shared" si="177"/>
        <v>-7.6923076923076925</v>
      </c>
      <c r="BC89" s="31">
        <f t="shared" si="156"/>
        <v>5850000</v>
      </c>
      <c r="BD89" s="31">
        <f t="shared" si="157"/>
        <v>7862023.8095238097</v>
      </c>
      <c r="BE89" s="31">
        <f t="shared" si="178"/>
        <v>34.393569393569393</v>
      </c>
      <c r="BF89" s="6">
        <v>110</v>
      </c>
      <c r="BG89" s="28">
        <v>140000000</v>
      </c>
      <c r="BH89" s="28">
        <v>120000000</v>
      </c>
      <c r="BI89" s="94">
        <f t="shared" si="179"/>
        <v>-14.285714285714285</v>
      </c>
      <c r="BJ89" s="31">
        <f t="shared" si="180"/>
        <v>132137976.19047619</v>
      </c>
      <c r="BK89" s="31">
        <f t="shared" si="181"/>
        <v>112137976.19047619</v>
      </c>
      <c r="BL89" s="31">
        <f t="shared" si="182"/>
        <v>-20000000</v>
      </c>
      <c r="BM89" s="12">
        <f t="shared" si="183"/>
        <v>-15.135694201317346</v>
      </c>
    </row>
    <row r="90" spans="1:65">
      <c r="A90" s="6" t="s">
        <v>66</v>
      </c>
      <c r="B90" s="7" t="s">
        <v>129</v>
      </c>
      <c r="C90" s="6">
        <v>1</v>
      </c>
      <c r="D90" s="6">
        <v>7</v>
      </c>
      <c r="E90" s="12">
        <f t="shared" si="158"/>
        <v>0.14285714285714285</v>
      </c>
      <c r="F90" s="6">
        <v>65</v>
      </c>
      <c r="G90" s="6">
        <v>5</v>
      </c>
      <c r="H90" s="6">
        <v>55</v>
      </c>
      <c r="I90" s="28">
        <f t="shared" si="159"/>
        <v>275000</v>
      </c>
      <c r="J90" s="28">
        <v>4500000</v>
      </c>
      <c r="K90" s="6">
        <v>1</v>
      </c>
      <c r="L90" s="6">
        <v>70</v>
      </c>
      <c r="M90" s="6">
        <v>5.5</v>
      </c>
      <c r="N90" s="6">
        <v>58</v>
      </c>
      <c r="O90" s="28">
        <f t="shared" si="160"/>
        <v>290000</v>
      </c>
      <c r="P90" s="28">
        <v>4800000</v>
      </c>
      <c r="Q90" s="94">
        <f t="shared" si="161"/>
        <v>5</v>
      </c>
      <c r="R90" s="94">
        <f t="shared" si="162"/>
        <v>0.5</v>
      </c>
      <c r="S90" s="94">
        <f t="shared" si="163"/>
        <v>3</v>
      </c>
      <c r="T90" s="93">
        <f t="shared" si="164"/>
        <v>15000</v>
      </c>
      <c r="U90" s="93">
        <f t="shared" si="165"/>
        <v>300000</v>
      </c>
      <c r="V90" s="94">
        <f t="shared" si="166"/>
        <v>7.6923076923076925</v>
      </c>
      <c r="W90" s="94">
        <f t="shared" si="167"/>
        <v>9.0909090909090917</v>
      </c>
      <c r="X90" s="94">
        <f t="shared" si="168"/>
        <v>3.4482758620689653</v>
      </c>
      <c r="Y90" s="94">
        <f t="shared" si="169"/>
        <v>5.4545454545454541</v>
      </c>
      <c r="Z90" s="94">
        <f t="shared" si="170"/>
        <v>6.666666666666667</v>
      </c>
      <c r="AA90" s="6">
        <v>1</v>
      </c>
      <c r="AB90" s="6">
        <v>1</v>
      </c>
      <c r="AC90" s="6">
        <v>6</v>
      </c>
      <c r="AD90" s="12">
        <f t="shared" si="171"/>
        <v>0.16666666666666666</v>
      </c>
      <c r="AE90" s="28">
        <v>2000000</v>
      </c>
      <c r="AF90" s="28">
        <f t="shared" si="172"/>
        <v>333333.33333333331</v>
      </c>
      <c r="AG90" s="6" t="s">
        <v>212</v>
      </c>
      <c r="AH90" s="6">
        <v>5</v>
      </c>
      <c r="AI90" s="6">
        <v>1</v>
      </c>
      <c r="AJ90" s="6">
        <v>1</v>
      </c>
      <c r="AK90" s="6">
        <v>7</v>
      </c>
      <c r="AL90" s="12">
        <f t="shared" si="173"/>
        <v>0.14285714285714285</v>
      </c>
      <c r="AM90" s="28">
        <v>3800000</v>
      </c>
      <c r="AN90" s="30">
        <f t="shared" si="174"/>
        <v>542857.14285714284</v>
      </c>
      <c r="AO90" s="6" t="s">
        <v>210</v>
      </c>
      <c r="AP90" s="6">
        <v>3</v>
      </c>
      <c r="AQ90" s="6">
        <v>1</v>
      </c>
      <c r="AR90" s="6">
        <v>1</v>
      </c>
      <c r="AS90" s="6">
        <v>6</v>
      </c>
      <c r="AT90" s="12">
        <f t="shared" si="175"/>
        <v>0.16666666666666666</v>
      </c>
      <c r="AU90" s="6" t="s">
        <v>208</v>
      </c>
      <c r="AV90" s="28">
        <v>3200000</v>
      </c>
      <c r="AW90" s="30">
        <f t="shared" si="176"/>
        <v>533333.33333333326</v>
      </c>
      <c r="AX90" s="6" t="s">
        <v>213</v>
      </c>
      <c r="AY90" s="6">
        <v>5</v>
      </c>
      <c r="AZ90" s="34">
        <v>900</v>
      </c>
      <c r="BA90" s="34">
        <v>880</v>
      </c>
      <c r="BB90" s="109">
        <f t="shared" si="177"/>
        <v>-2.2222222222222223</v>
      </c>
      <c r="BC90" s="31">
        <f t="shared" si="156"/>
        <v>4775000</v>
      </c>
      <c r="BD90" s="31">
        <f t="shared" si="157"/>
        <v>6499523.8095238088</v>
      </c>
      <c r="BE90" s="31">
        <f t="shared" si="178"/>
        <v>36.115681874844164</v>
      </c>
      <c r="BF90" s="6">
        <v>100</v>
      </c>
      <c r="BG90" s="28">
        <v>150000000</v>
      </c>
      <c r="BH90" s="28">
        <v>145000000</v>
      </c>
      <c r="BI90" s="94">
        <f t="shared" si="179"/>
        <v>-3.3333333333333335</v>
      </c>
      <c r="BJ90" s="31">
        <f t="shared" si="180"/>
        <v>143500476.19047618</v>
      </c>
      <c r="BK90" s="31">
        <f t="shared" si="181"/>
        <v>138500476.19047618</v>
      </c>
      <c r="BL90" s="31">
        <f t="shared" si="182"/>
        <v>-5000000</v>
      </c>
      <c r="BM90" s="12">
        <f t="shared" si="183"/>
        <v>-3.4843089951584703</v>
      </c>
    </row>
    <row r="91" spans="1:65">
      <c r="A91" s="6" t="s">
        <v>67</v>
      </c>
      <c r="B91" s="7" t="s">
        <v>131</v>
      </c>
      <c r="C91" s="6">
        <v>1</v>
      </c>
      <c r="D91" s="6">
        <v>6</v>
      </c>
      <c r="E91" s="12">
        <f t="shared" si="158"/>
        <v>0.16666666666666666</v>
      </c>
      <c r="F91" s="6">
        <v>79</v>
      </c>
      <c r="G91" s="6">
        <v>6</v>
      </c>
      <c r="H91" s="6">
        <v>65</v>
      </c>
      <c r="I91" s="28">
        <f t="shared" si="159"/>
        <v>325000</v>
      </c>
      <c r="J91" s="28">
        <v>5000000</v>
      </c>
      <c r="K91" s="6">
        <v>2</v>
      </c>
      <c r="L91" s="6">
        <v>82</v>
      </c>
      <c r="M91" s="6">
        <v>7</v>
      </c>
      <c r="N91" s="6">
        <v>67</v>
      </c>
      <c r="O91" s="28">
        <f t="shared" si="160"/>
        <v>335000</v>
      </c>
      <c r="P91" s="28">
        <v>6000000</v>
      </c>
      <c r="Q91" s="94">
        <f t="shared" si="161"/>
        <v>3</v>
      </c>
      <c r="R91" s="94">
        <f t="shared" si="162"/>
        <v>1</v>
      </c>
      <c r="S91" s="94">
        <f t="shared" si="163"/>
        <v>2</v>
      </c>
      <c r="T91" s="93">
        <f t="shared" si="164"/>
        <v>10000</v>
      </c>
      <c r="U91" s="93">
        <f t="shared" si="165"/>
        <v>1000000</v>
      </c>
      <c r="V91" s="94">
        <f t="shared" si="166"/>
        <v>3.79746835443038</v>
      </c>
      <c r="W91" s="94">
        <f t="shared" si="167"/>
        <v>14.285714285714285</v>
      </c>
      <c r="X91" s="94">
        <f t="shared" si="168"/>
        <v>1.4925373134328357</v>
      </c>
      <c r="Y91" s="94">
        <f t="shared" si="169"/>
        <v>3.0769230769230771</v>
      </c>
      <c r="Z91" s="94">
        <f t="shared" si="170"/>
        <v>20</v>
      </c>
      <c r="AA91" s="6">
        <v>1</v>
      </c>
      <c r="AB91" s="6">
        <v>1</v>
      </c>
      <c r="AC91" s="6">
        <v>6</v>
      </c>
      <c r="AD91" s="12">
        <f t="shared" si="171"/>
        <v>0.16666666666666666</v>
      </c>
      <c r="AE91" s="28">
        <v>2300000</v>
      </c>
      <c r="AF91" s="28">
        <f t="shared" si="172"/>
        <v>383333.33333333331</v>
      </c>
      <c r="AG91" s="6" t="s">
        <v>212</v>
      </c>
      <c r="AH91" s="6">
        <v>4</v>
      </c>
      <c r="AI91" s="6">
        <v>1</v>
      </c>
      <c r="AJ91" s="6">
        <v>1</v>
      </c>
      <c r="AK91" s="6">
        <v>7</v>
      </c>
      <c r="AL91" s="12">
        <f t="shared" si="173"/>
        <v>0.14285714285714285</v>
      </c>
      <c r="AM91" s="28">
        <v>3500000</v>
      </c>
      <c r="AN91" s="30">
        <f t="shared" si="174"/>
        <v>500000</v>
      </c>
      <c r="AO91" s="6" t="s">
        <v>210</v>
      </c>
      <c r="AP91" s="6">
        <v>3</v>
      </c>
      <c r="AQ91" s="6">
        <v>1</v>
      </c>
      <c r="AR91" s="6">
        <v>1</v>
      </c>
      <c r="AS91" s="6">
        <v>7</v>
      </c>
      <c r="AT91" s="12">
        <f t="shared" si="175"/>
        <v>0.14285714285714285</v>
      </c>
      <c r="AU91" s="6" t="s">
        <v>208</v>
      </c>
      <c r="AV91" s="28">
        <v>3600000</v>
      </c>
      <c r="AW91" s="30">
        <f t="shared" si="176"/>
        <v>514285.71428571426</v>
      </c>
      <c r="AX91" s="6" t="s">
        <v>213</v>
      </c>
      <c r="AY91" s="6">
        <v>5</v>
      </c>
      <c r="AZ91" s="34">
        <v>860</v>
      </c>
      <c r="BA91" s="34">
        <v>800</v>
      </c>
      <c r="BB91" s="109">
        <f t="shared" si="177"/>
        <v>-6.9767441860465116</v>
      </c>
      <c r="BC91" s="31">
        <f t="shared" si="156"/>
        <v>5325000</v>
      </c>
      <c r="BD91" s="31">
        <f t="shared" si="157"/>
        <v>7732619.0476190476</v>
      </c>
      <c r="BE91" s="31">
        <f t="shared" si="178"/>
        <v>45.213503241672257</v>
      </c>
      <c r="BF91" s="6">
        <v>100</v>
      </c>
      <c r="BG91" s="28">
        <v>170000000</v>
      </c>
      <c r="BH91" s="28">
        <v>165000000</v>
      </c>
      <c r="BI91" s="94">
        <f t="shared" si="179"/>
        <v>-2.9411764705882351</v>
      </c>
      <c r="BJ91" s="31">
        <f t="shared" si="180"/>
        <v>162267380.95238096</v>
      </c>
      <c r="BK91" s="31">
        <f t="shared" si="181"/>
        <v>157267380.95238096</v>
      </c>
      <c r="BL91" s="31">
        <f t="shared" si="182"/>
        <v>-5000000</v>
      </c>
      <c r="BM91" s="12">
        <f t="shared" si="183"/>
        <v>-3.0813340122050175</v>
      </c>
    </row>
    <row r="92" spans="1:65">
      <c r="A92" s="6" t="s">
        <v>68</v>
      </c>
      <c r="B92" s="7" t="s">
        <v>132</v>
      </c>
      <c r="C92" s="6">
        <v>1</v>
      </c>
      <c r="D92" s="6">
        <v>7</v>
      </c>
      <c r="E92" s="12">
        <f t="shared" si="158"/>
        <v>0.14285714285714285</v>
      </c>
      <c r="F92" s="6">
        <v>92</v>
      </c>
      <c r="G92" s="6">
        <v>7</v>
      </c>
      <c r="H92" s="6">
        <v>60</v>
      </c>
      <c r="I92" s="28">
        <f t="shared" si="159"/>
        <v>300000</v>
      </c>
      <c r="J92" s="28">
        <v>4300000</v>
      </c>
      <c r="K92" s="6">
        <v>2</v>
      </c>
      <c r="L92" s="6">
        <v>95</v>
      </c>
      <c r="M92" s="6">
        <v>7.5</v>
      </c>
      <c r="N92" s="6">
        <v>61</v>
      </c>
      <c r="O92" s="28">
        <f t="shared" si="160"/>
        <v>305000</v>
      </c>
      <c r="P92" s="28">
        <v>4800000</v>
      </c>
      <c r="Q92" s="94">
        <f t="shared" si="161"/>
        <v>3</v>
      </c>
      <c r="R92" s="94">
        <f t="shared" si="162"/>
        <v>0.5</v>
      </c>
      <c r="S92" s="94">
        <f t="shared" si="163"/>
        <v>1</v>
      </c>
      <c r="T92" s="93">
        <f t="shared" si="164"/>
        <v>5000</v>
      </c>
      <c r="U92" s="93">
        <f t="shared" si="165"/>
        <v>500000</v>
      </c>
      <c r="V92" s="94">
        <f t="shared" si="166"/>
        <v>3.2608695652173911</v>
      </c>
      <c r="W92" s="94">
        <f t="shared" si="167"/>
        <v>6.666666666666667</v>
      </c>
      <c r="X92" s="94">
        <f t="shared" si="168"/>
        <v>4.918032786885246</v>
      </c>
      <c r="Y92" s="94">
        <f t="shared" si="169"/>
        <v>1.6666666666666667</v>
      </c>
      <c r="Z92" s="94">
        <f t="shared" si="170"/>
        <v>11.627906976744185</v>
      </c>
      <c r="AA92" s="6">
        <v>1</v>
      </c>
      <c r="AB92" s="6">
        <v>1</v>
      </c>
      <c r="AC92" s="6">
        <v>8</v>
      </c>
      <c r="AD92" s="12">
        <f t="shared" si="171"/>
        <v>0.125</v>
      </c>
      <c r="AE92" s="28">
        <v>2800000</v>
      </c>
      <c r="AF92" s="28">
        <f t="shared" si="172"/>
        <v>350000</v>
      </c>
      <c r="AG92" s="6" t="s">
        <v>212</v>
      </c>
      <c r="AH92" s="6">
        <v>4</v>
      </c>
      <c r="AI92" s="6">
        <v>1</v>
      </c>
      <c r="AJ92" s="6">
        <v>1</v>
      </c>
      <c r="AK92" s="6">
        <v>5</v>
      </c>
      <c r="AL92" s="12">
        <f t="shared" si="173"/>
        <v>0.2</v>
      </c>
      <c r="AM92" s="28">
        <v>5400000</v>
      </c>
      <c r="AN92" s="30">
        <f t="shared" si="174"/>
        <v>1080000</v>
      </c>
      <c r="AO92" s="6" t="s">
        <v>210</v>
      </c>
      <c r="AP92" s="6">
        <v>1</v>
      </c>
      <c r="AQ92" s="6">
        <v>1</v>
      </c>
      <c r="AR92" s="6">
        <v>1</v>
      </c>
      <c r="AS92" s="6">
        <v>6</v>
      </c>
      <c r="AT92" s="12">
        <f t="shared" si="175"/>
        <v>0.16666666666666666</v>
      </c>
      <c r="AU92" s="6" t="s">
        <v>208</v>
      </c>
      <c r="AV92" s="28">
        <v>2000000</v>
      </c>
      <c r="AW92" s="30">
        <f t="shared" si="176"/>
        <v>333333.33333333331</v>
      </c>
      <c r="AX92" s="6" t="s">
        <v>213</v>
      </c>
      <c r="AY92" s="6">
        <v>4</v>
      </c>
      <c r="AZ92" s="34">
        <v>1200</v>
      </c>
      <c r="BA92" s="34">
        <v>1100</v>
      </c>
      <c r="BB92" s="109">
        <f t="shared" si="177"/>
        <v>-8.3333333333333321</v>
      </c>
      <c r="BC92" s="31">
        <f t="shared" si="156"/>
        <v>4600000</v>
      </c>
      <c r="BD92" s="31">
        <f t="shared" si="157"/>
        <v>6868333.333333333</v>
      </c>
      <c r="BE92" s="31">
        <f t="shared" si="178"/>
        <v>49.311594202898547</v>
      </c>
      <c r="BF92" s="6">
        <v>98</v>
      </c>
      <c r="BG92" s="28">
        <v>120000000</v>
      </c>
      <c r="BH92" s="28">
        <v>100000000</v>
      </c>
      <c r="BI92" s="94">
        <f t="shared" si="179"/>
        <v>-16.666666666666664</v>
      </c>
      <c r="BJ92" s="31">
        <f t="shared" si="180"/>
        <v>113131666.66666667</v>
      </c>
      <c r="BK92" s="31">
        <f t="shared" si="181"/>
        <v>93131666.666666672</v>
      </c>
      <c r="BL92" s="31">
        <f t="shared" si="182"/>
        <v>-20000000</v>
      </c>
      <c r="BM92" s="12">
        <f t="shared" si="183"/>
        <v>-17.678516183208355</v>
      </c>
    </row>
    <row r="93" spans="1:65">
      <c r="A93" s="6" t="s">
        <v>69</v>
      </c>
      <c r="B93" s="7" t="s">
        <v>133</v>
      </c>
      <c r="C93" s="6">
        <v>1</v>
      </c>
      <c r="D93" s="6">
        <v>5</v>
      </c>
      <c r="E93" s="12">
        <f t="shared" si="158"/>
        <v>0.2</v>
      </c>
      <c r="F93" s="6">
        <v>73</v>
      </c>
      <c r="G93" s="6">
        <v>5</v>
      </c>
      <c r="H93" s="6">
        <v>75</v>
      </c>
      <c r="I93" s="28">
        <f t="shared" si="159"/>
        <v>375000</v>
      </c>
      <c r="J93" s="28">
        <v>6000000</v>
      </c>
      <c r="K93" s="6">
        <v>1</v>
      </c>
      <c r="L93" s="6">
        <v>74</v>
      </c>
      <c r="M93" s="6">
        <v>5.5</v>
      </c>
      <c r="N93" s="6">
        <v>78</v>
      </c>
      <c r="O93" s="28">
        <f t="shared" si="160"/>
        <v>390000</v>
      </c>
      <c r="P93" s="28">
        <v>6500000</v>
      </c>
      <c r="Q93" s="94">
        <f t="shared" si="161"/>
        <v>1</v>
      </c>
      <c r="R93" s="94">
        <f t="shared" si="162"/>
        <v>0.5</v>
      </c>
      <c r="S93" s="94">
        <f t="shared" si="163"/>
        <v>3</v>
      </c>
      <c r="T93" s="93">
        <f t="shared" si="164"/>
        <v>15000</v>
      </c>
      <c r="U93" s="93">
        <f t="shared" si="165"/>
        <v>500000</v>
      </c>
      <c r="V93" s="94">
        <f t="shared" si="166"/>
        <v>1.3698630136986301</v>
      </c>
      <c r="W93" s="94">
        <f t="shared" si="167"/>
        <v>9.0909090909090917</v>
      </c>
      <c r="X93" s="94">
        <f t="shared" si="168"/>
        <v>6.4102564102564097</v>
      </c>
      <c r="Y93" s="94">
        <f t="shared" si="169"/>
        <v>4</v>
      </c>
      <c r="Z93" s="94">
        <f t="shared" si="170"/>
        <v>8.3333333333333321</v>
      </c>
      <c r="AA93" s="6">
        <v>1</v>
      </c>
      <c r="AB93" s="6">
        <v>1</v>
      </c>
      <c r="AC93" s="6">
        <v>6</v>
      </c>
      <c r="AD93" s="12">
        <f t="shared" si="171"/>
        <v>0.16666666666666666</v>
      </c>
      <c r="AE93" s="28">
        <v>3000000</v>
      </c>
      <c r="AF93" s="28">
        <f t="shared" si="172"/>
        <v>500000</v>
      </c>
      <c r="AG93" s="6" t="s">
        <v>212</v>
      </c>
      <c r="AH93" s="6">
        <v>6</v>
      </c>
      <c r="AI93" s="6">
        <v>1</v>
      </c>
      <c r="AJ93" s="6">
        <v>1</v>
      </c>
      <c r="AK93" s="6">
        <v>5</v>
      </c>
      <c r="AL93" s="12">
        <f t="shared" si="173"/>
        <v>0.2</v>
      </c>
      <c r="AM93" s="28">
        <v>4000000</v>
      </c>
      <c r="AN93" s="30">
        <f t="shared" si="174"/>
        <v>800000</v>
      </c>
      <c r="AO93" s="6" t="s">
        <v>210</v>
      </c>
      <c r="AP93" s="6">
        <v>1</v>
      </c>
      <c r="AQ93" s="6">
        <v>1</v>
      </c>
      <c r="AR93" s="6">
        <v>1</v>
      </c>
      <c r="AS93" s="6">
        <v>5</v>
      </c>
      <c r="AT93" s="12">
        <f t="shared" si="175"/>
        <v>0.2</v>
      </c>
      <c r="AU93" s="6" t="s">
        <v>208</v>
      </c>
      <c r="AV93" s="28">
        <v>2600000</v>
      </c>
      <c r="AW93" s="30">
        <f t="shared" si="176"/>
        <v>520000</v>
      </c>
      <c r="AX93" s="6" t="s">
        <v>213</v>
      </c>
      <c r="AY93" s="6">
        <v>6</v>
      </c>
      <c r="AZ93" s="34">
        <v>950</v>
      </c>
      <c r="BA93" s="34">
        <v>850</v>
      </c>
      <c r="BB93" s="109">
        <f t="shared" si="177"/>
        <v>-10.526315789473683</v>
      </c>
      <c r="BC93" s="31">
        <f t="shared" si="156"/>
        <v>6375000</v>
      </c>
      <c r="BD93" s="31">
        <f t="shared" si="157"/>
        <v>8710000</v>
      </c>
      <c r="BE93" s="31">
        <f t="shared" si="178"/>
        <v>36.627450980392155</v>
      </c>
      <c r="BF93" s="6">
        <v>90</v>
      </c>
      <c r="BG93" s="28">
        <v>190000000</v>
      </c>
      <c r="BH93" s="28">
        <v>185000000</v>
      </c>
      <c r="BI93" s="94">
        <f t="shared" si="179"/>
        <v>-2.6315789473684208</v>
      </c>
      <c r="BJ93" s="31">
        <f t="shared" si="180"/>
        <v>181290000</v>
      </c>
      <c r="BK93" s="31">
        <f t="shared" si="181"/>
        <v>176290000</v>
      </c>
      <c r="BL93" s="31">
        <f t="shared" si="182"/>
        <v>-5000000</v>
      </c>
      <c r="BM93" s="12">
        <f t="shared" si="183"/>
        <v>-2.7580120249324285</v>
      </c>
    </row>
    <row r="94" spans="1:65">
      <c r="A94" s="6" t="s">
        <v>70</v>
      </c>
      <c r="B94" s="7" t="s">
        <v>134</v>
      </c>
      <c r="C94" s="6">
        <v>1</v>
      </c>
      <c r="D94" s="6">
        <v>7</v>
      </c>
      <c r="E94" s="12">
        <f t="shared" si="158"/>
        <v>0.14285714285714285</v>
      </c>
      <c r="F94" s="6">
        <v>85</v>
      </c>
      <c r="G94" s="6">
        <v>6</v>
      </c>
      <c r="H94" s="6">
        <v>80</v>
      </c>
      <c r="I94" s="28">
        <f t="shared" si="159"/>
        <v>400000</v>
      </c>
      <c r="J94" s="28">
        <v>5000000</v>
      </c>
      <c r="K94" s="6">
        <v>2</v>
      </c>
      <c r="L94" s="6">
        <v>86</v>
      </c>
      <c r="M94" s="6">
        <v>7</v>
      </c>
      <c r="N94" s="6">
        <v>85</v>
      </c>
      <c r="O94" s="28">
        <f t="shared" si="160"/>
        <v>425000</v>
      </c>
      <c r="P94" s="28">
        <v>6000000</v>
      </c>
      <c r="Q94" s="94">
        <f t="shared" si="161"/>
        <v>1</v>
      </c>
      <c r="R94" s="94">
        <f t="shared" si="162"/>
        <v>1</v>
      </c>
      <c r="S94" s="94">
        <f t="shared" si="163"/>
        <v>5</v>
      </c>
      <c r="T94" s="93">
        <f t="shared" si="164"/>
        <v>25000</v>
      </c>
      <c r="U94" s="93">
        <f t="shared" si="165"/>
        <v>1000000</v>
      </c>
      <c r="V94" s="94">
        <f t="shared" si="166"/>
        <v>1.1764705882352942</v>
      </c>
      <c r="W94" s="94">
        <f t="shared" si="167"/>
        <v>14.285714285714285</v>
      </c>
      <c r="X94" s="94">
        <f t="shared" si="168"/>
        <v>0</v>
      </c>
      <c r="Y94" s="94">
        <f t="shared" si="169"/>
        <v>6.25</v>
      </c>
      <c r="Z94" s="94">
        <f t="shared" si="170"/>
        <v>20</v>
      </c>
      <c r="AA94" s="6">
        <v>1</v>
      </c>
      <c r="AB94" s="6">
        <v>1</v>
      </c>
      <c r="AC94" s="6">
        <v>7</v>
      </c>
      <c r="AD94" s="12">
        <f t="shared" si="171"/>
        <v>0.14285714285714285</v>
      </c>
      <c r="AE94" s="28">
        <v>2500000</v>
      </c>
      <c r="AF94" s="28">
        <f t="shared" si="172"/>
        <v>357142.8571428571</v>
      </c>
      <c r="AG94" s="6" t="s">
        <v>212</v>
      </c>
      <c r="AH94" s="6">
        <v>6</v>
      </c>
      <c r="AI94" s="6">
        <v>1</v>
      </c>
      <c r="AJ94" s="6">
        <v>1</v>
      </c>
      <c r="AK94" s="6">
        <v>6</v>
      </c>
      <c r="AL94" s="12">
        <f t="shared" si="173"/>
        <v>0.16666666666666666</v>
      </c>
      <c r="AM94" s="28">
        <v>3800000</v>
      </c>
      <c r="AN94" s="30">
        <f t="shared" si="174"/>
        <v>633333.33333333326</v>
      </c>
      <c r="AO94" s="6" t="s">
        <v>210</v>
      </c>
      <c r="AP94" s="6">
        <v>3</v>
      </c>
      <c r="AQ94" s="6">
        <v>1</v>
      </c>
      <c r="AR94" s="6">
        <v>1</v>
      </c>
      <c r="AS94" s="6">
        <v>6</v>
      </c>
      <c r="AT94" s="12">
        <f t="shared" si="175"/>
        <v>0.16666666666666666</v>
      </c>
      <c r="AU94" s="6" t="s">
        <v>208</v>
      </c>
      <c r="AV94" s="28">
        <v>2000000</v>
      </c>
      <c r="AW94" s="30">
        <f t="shared" si="176"/>
        <v>333333.33333333331</v>
      </c>
      <c r="AX94" s="6" t="s">
        <v>213</v>
      </c>
      <c r="AY94" s="6">
        <v>5</v>
      </c>
      <c r="AZ94" s="34">
        <v>1500</v>
      </c>
      <c r="BA94" s="34">
        <v>1300</v>
      </c>
      <c r="BB94" s="109">
        <f t="shared" si="177"/>
        <v>-13.333333333333334</v>
      </c>
      <c r="BC94" s="31">
        <f t="shared" si="156"/>
        <v>5400000</v>
      </c>
      <c r="BD94" s="31">
        <f t="shared" si="157"/>
        <v>7748809.5238095233</v>
      </c>
      <c r="BE94" s="31">
        <f t="shared" si="178"/>
        <v>43.496472663139315</v>
      </c>
      <c r="BF94" s="6">
        <v>85</v>
      </c>
      <c r="BG94" s="28">
        <v>105000000</v>
      </c>
      <c r="BH94" s="28">
        <v>94500000</v>
      </c>
      <c r="BI94" s="94">
        <f t="shared" si="179"/>
        <v>-10</v>
      </c>
      <c r="BJ94" s="31">
        <f t="shared" si="180"/>
        <v>97251190.476190478</v>
      </c>
      <c r="BK94" s="31">
        <f t="shared" si="181"/>
        <v>86751190.476190478</v>
      </c>
      <c r="BL94" s="31">
        <f t="shared" si="182"/>
        <v>-10500000</v>
      </c>
      <c r="BM94" s="12">
        <f t="shared" si="183"/>
        <v>-10.796782999351214</v>
      </c>
    </row>
    <row r="95" spans="1:65">
      <c r="A95" s="213"/>
      <c r="B95" s="46" t="s">
        <v>196</v>
      </c>
      <c r="C95" s="35"/>
      <c r="D95" s="36">
        <f>_xlfn.MODE.SNGL(D85:D94)</f>
        <v>7</v>
      </c>
      <c r="E95" s="35"/>
      <c r="F95" s="35"/>
      <c r="G95" s="35"/>
      <c r="H95" s="35"/>
      <c r="I95" s="35"/>
      <c r="J95" s="35"/>
      <c r="K95" s="35"/>
      <c r="L95" s="35"/>
      <c r="M95" s="35"/>
      <c r="N95" s="35"/>
      <c r="O95" s="35"/>
      <c r="P95" s="35"/>
      <c r="Q95" s="35"/>
      <c r="R95" s="35"/>
      <c r="S95" s="35"/>
      <c r="T95" s="35"/>
      <c r="U95" s="35"/>
      <c r="V95" s="35"/>
      <c r="W95" s="35"/>
      <c r="X95" s="35"/>
      <c r="Y95" s="35"/>
      <c r="Z95" s="35"/>
      <c r="AA95" s="35"/>
      <c r="AB95" s="35"/>
      <c r="AC95" s="84">
        <f>_xlfn.MODE.SNGL(AC85:AC94)</f>
        <v>6</v>
      </c>
      <c r="AD95" s="35"/>
      <c r="AE95" s="35"/>
      <c r="AF95" s="35"/>
      <c r="AG95" s="35"/>
      <c r="AH95" s="35"/>
      <c r="AI95" s="35"/>
      <c r="AJ95" s="35"/>
      <c r="AK95" s="82">
        <f>_xlfn.MODE.SNGL(AK85:AK94)</f>
        <v>7</v>
      </c>
      <c r="AL95" s="82">
        <f t="shared" ref="AL95" si="184">_xlfn.MODE.SNGL(AL85:AL94)</f>
        <v>0.14285714285714285</v>
      </c>
      <c r="AM95" s="41"/>
      <c r="AN95" s="41"/>
      <c r="AO95" s="35"/>
      <c r="AP95" s="36">
        <f>_xlfn.MODE.SNGL(AP85:AP94)</f>
        <v>1</v>
      </c>
      <c r="AQ95" s="35"/>
      <c r="AR95" s="35"/>
      <c r="AS95" s="84">
        <f>_xlfn.MODE.SNGL(AS85:AS94)</f>
        <v>6</v>
      </c>
      <c r="AT95" s="35"/>
      <c r="AU95" s="35"/>
      <c r="AV95" s="35"/>
      <c r="AW95" s="35"/>
      <c r="AX95" s="35"/>
      <c r="AY95" s="35"/>
      <c r="AZ95" s="35"/>
      <c r="BA95" s="35"/>
      <c r="BB95" s="35"/>
      <c r="BC95" s="35"/>
      <c r="BD95" s="35"/>
      <c r="BE95" s="35"/>
      <c r="BF95" s="35"/>
      <c r="BG95" s="35"/>
      <c r="BH95" s="35"/>
      <c r="BI95" s="35"/>
      <c r="BJ95" s="35"/>
      <c r="BK95" s="35"/>
      <c r="BL95" s="35"/>
      <c r="BM95" s="35"/>
    </row>
    <row r="96" spans="1:65">
      <c r="A96" s="213"/>
      <c r="B96" s="46" t="s">
        <v>141</v>
      </c>
      <c r="C96" s="35"/>
      <c r="D96" s="46">
        <f>AVERAGE(D85:D94)</f>
        <v>6.6</v>
      </c>
      <c r="E96" s="82">
        <f>AVERAGE(E85:E94)</f>
        <v>0.15547619047619046</v>
      </c>
      <c r="F96" s="82">
        <f>AVERAGE(F85:F94)</f>
        <v>84.9</v>
      </c>
      <c r="G96" s="82">
        <f t="shared" ref="G96:J96" si="185">AVERAGE(G85:G94)</f>
        <v>5.5</v>
      </c>
      <c r="H96" s="82">
        <f t="shared" si="185"/>
        <v>62.8</v>
      </c>
      <c r="I96" s="82">
        <f t="shared" si="185"/>
        <v>314000</v>
      </c>
      <c r="J96" s="82">
        <f t="shared" si="185"/>
        <v>5070000</v>
      </c>
      <c r="K96" s="35"/>
      <c r="L96" s="84">
        <f>AVERAGE(L85:L94)</f>
        <v>89.4</v>
      </c>
      <c r="M96" s="83">
        <f>AVERAGE(M85:M94)</f>
        <v>6.55</v>
      </c>
      <c r="N96" s="84">
        <f>AVERAGE(N85:N94)</f>
        <v>66.900000000000006</v>
      </c>
      <c r="O96" s="82">
        <f>AVERAGE(O85:O94)</f>
        <v>334500</v>
      </c>
      <c r="P96" s="82">
        <f>AVERAGE(P85:P94)</f>
        <v>5550000</v>
      </c>
      <c r="Q96" s="82">
        <f t="shared" ref="Q96:Z96" si="186">AVERAGE(Q85:Q94)</f>
        <v>4.5</v>
      </c>
      <c r="R96" s="82">
        <f t="shared" si="186"/>
        <v>1.05</v>
      </c>
      <c r="S96" s="82">
        <f t="shared" si="186"/>
        <v>4.0999999999999996</v>
      </c>
      <c r="T96" s="82">
        <f t="shared" si="186"/>
        <v>20500</v>
      </c>
      <c r="U96" s="82">
        <f t="shared" si="186"/>
        <v>480000</v>
      </c>
      <c r="V96" s="95">
        <f t="shared" si="186"/>
        <v>5.1737480846210264</v>
      </c>
      <c r="W96" s="95">
        <f t="shared" si="186"/>
        <v>15.849121466768523</v>
      </c>
      <c r="X96" s="95">
        <f t="shared" si="186"/>
        <v>6.1304424873446726</v>
      </c>
      <c r="Y96" s="95">
        <f t="shared" si="186"/>
        <v>6.6074845652431859</v>
      </c>
      <c r="Z96" s="95">
        <f t="shared" si="186"/>
        <v>9.5911047958742088</v>
      </c>
      <c r="AA96" s="35"/>
      <c r="AB96" s="35"/>
      <c r="AC96" s="84">
        <f>AVERAGE(AC85:AC94)</f>
        <v>6.2</v>
      </c>
      <c r="AD96" s="83">
        <f>AVERAGE(AD85:AD94)</f>
        <v>0.16440476190476191</v>
      </c>
      <c r="AE96" s="48">
        <f>AVERAGE(AE85:AE94)</f>
        <v>2210000</v>
      </c>
      <c r="AF96" s="48">
        <f>AVERAGE(AF85:AF94)</f>
        <v>357666.66666666663</v>
      </c>
      <c r="AG96" s="35"/>
      <c r="AH96" s="35"/>
      <c r="AI96" s="35"/>
      <c r="AJ96" s="35"/>
      <c r="AK96" s="82">
        <f>AVERAGE(AK85:AK94)</f>
        <v>6.6</v>
      </c>
      <c r="AL96" s="82">
        <f t="shared" ref="AL96:AN96" si="187">AVERAGE(AL85:AL94)</f>
        <v>0.15547619047619046</v>
      </c>
      <c r="AM96" s="41">
        <f t="shared" si="187"/>
        <v>4390000</v>
      </c>
      <c r="AN96" s="41">
        <f t="shared" si="187"/>
        <v>685083.33333333326</v>
      </c>
      <c r="AO96" s="35"/>
      <c r="AP96" s="35"/>
      <c r="AQ96" s="35"/>
      <c r="AR96" s="35"/>
      <c r="AS96" s="83">
        <f>AVERAGE(AS85:AS94)</f>
        <v>5.7</v>
      </c>
      <c r="AT96" s="83">
        <f>AVERAGE(AT85:AT94)</f>
        <v>0.17761904761904762</v>
      </c>
      <c r="AU96" s="36"/>
      <c r="AV96" s="51">
        <f>AVERAGE(AV85:AV94)</f>
        <v>2810000</v>
      </c>
      <c r="AW96" s="51">
        <f>AVERAGE(AW85:AW94)</f>
        <v>495761.90476190468</v>
      </c>
      <c r="AX96" s="36"/>
      <c r="AY96" s="36"/>
      <c r="AZ96" s="51">
        <f>AVERAGE(AZ85:AZ94)</f>
        <v>1119</v>
      </c>
      <c r="BA96" s="51">
        <f t="shared" ref="BA96:BM96" si="188">AVERAGE(BA85:BA94)</f>
        <v>1013</v>
      </c>
      <c r="BB96" s="85">
        <f t="shared" si="188"/>
        <v>-8.9257987587590666</v>
      </c>
      <c r="BC96" s="51">
        <f t="shared" si="188"/>
        <v>5384000</v>
      </c>
      <c r="BD96" s="51">
        <f t="shared" si="188"/>
        <v>7423011.9047619049</v>
      </c>
      <c r="BE96" s="51">
        <f t="shared" si="188"/>
        <v>38.200728173281348</v>
      </c>
      <c r="BF96" s="50">
        <f t="shared" si="188"/>
        <v>99.8</v>
      </c>
      <c r="BG96" s="51">
        <f t="shared" si="188"/>
        <v>144000000</v>
      </c>
      <c r="BH96" s="51">
        <f t="shared" si="188"/>
        <v>133950000</v>
      </c>
      <c r="BI96" s="85">
        <f t="shared" si="188"/>
        <v>-7.3597824031260561</v>
      </c>
      <c r="BJ96" s="51">
        <f t="shared" si="188"/>
        <v>136576988.09523812</v>
      </c>
      <c r="BK96" s="51">
        <f t="shared" si="188"/>
        <v>126526988.09523812</v>
      </c>
      <c r="BL96" s="51">
        <f t="shared" si="188"/>
        <v>-10050000</v>
      </c>
      <c r="BM96" s="167">
        <f t="shared" si="188"/>
        <v>-7.7931048273903416</v>
      </c>
    </row>
    <row r="97" spans="1:65">
      <c r="A97" s="213"/>
      <c r="B97" s="46" t="s">
        <v>345</v>
      </c>
      <c r="C97" s="35"/>
      <c r="D97" s="85">
        <f>STDEV(D85:D94)</f>
        <v>1.0749676997731388</v>
      </c>
      <c r="E97" s="85">
        <f t="shared" ref="E97:J97" si="189">STDEV(E85:E94)</f>
        <v>2.7304355710507867E-2</v>
      </c>
      <c r="F97" s="85">
        <f t="shared" si="189"/>
        <v>12.696893758361155</v>
      </c>
      <c r="G97" s="85">
        <f t="shared" si="189"/>
        <v>1.0801234497346435</v>
      </c>
      <c r="H97" s="85">
        <f t="shared" si="189"/>
        <v>10.141224997230083</v>
      </c>
      <c r="I97" s="41">
        <f t="shared" si="189"/>
        <v>50706.124986150455</v>
      </c>
      <c r="J97" s="41">
        <f t="shared" si="189"/>
        <v>603784.36180109496</v>
      </c>
      <c r="K97" s="35"/>
      <c r="L97" s="83">
        <f>STDEV(L85:L94)</f>
        <v>14.781369655376604</v>
      </c>
      <c r="M97" s="83">
        <f t="shared" ref="M97:Z97" si="190">STDEV(M85:M94)</f>
        <v>1.2122064363978797</v>
      </c>
      <c r="N97" s="83">
        <f t="shared" si="190"/>
        <v>11.069979423849198</v>
      </c>
      <c r="O97" s="83">
        <f t="shared" si="190"/>
        <v>55349.89711924595</v>
      </c>
      <c r="P97" s="83">
        <f t="shared" si="190"/>
        <v>663743.59172466258</v>
      </c>
      <c r="Q97" s="83">
        <f t="shared" si="190"/>
        <v>3.6285901761795403</v>
      </c>
      <c r="R97" s="83">
        <f t="shared" si="190"/>
        <v>0.5986094998689323</v>
      </c>
      <c r="S97" s="83">
        <f t="shared" si="190"/>
        <v>3.984692933938295</v>
      </c>
      <c r="T97" s="83">
        <f t="shared" si="190"/>
        <v>19923.464669691475</v>
      </c>
      <c r="U97" s="82">
        <f t="shared" si="190"/>
        <v>311982.90551460237</v>
      </c>
      <c r="V97" s="83">
        <f t="shared" si="190"/>
        <v>3.699808331340118</v>
      </c>
      <c r="W97" s="83">
        <f t="shared" si="190"/>
        <v>8.4071720545712747</v>
      </c>
      <c r="X97" s="83">
        <f t="shared" si="190"/>
        <v>6.6903313418888573</v>
      </c>
      <c r="Y97" s="83">
        <f t="shared" si="190"/>
        <v>6.6345403906605087</v>
      </c>
      <c r="Z97" s="83">
        <f t="shared" si="190"/>
        <v>6.2463124946409332</v>
      </c>
      <c r="AA97" s="35"/>
      <c r="AB97" s="35"/>
      <c r="AC97" s="82">
        <f>STDEV(AC85:AC94)</f>
        <v>0.91893658347268281</v>
      </c>
      <c r="AD97" s="41">
        <f t="shared" ref="AD97:AF97" si="191">STDEV(AD85:AD94)</f>
        <v>2.3666568192017276E-2</v>
      </c>
      <c r="AE97" s="41">
        <f t="shared" si="191"/>
        <v>490917.50834534311</v>
      </c>
      <c r="AF97" s="41">
        <f t="shared" si="191"/>
        <v>68438.086844348625</v>
      </c>
      <c r="AG97" s="35"/>
      <c r="AH97" s="35"/>
      <c r="AI97" s="35"/>
      <c r="AJ97" s="35"/>
      <c r="AK97" s="82">
        <f>STDEV(AK85:AK94)</f>
        <v>1.0749676997731388</v>
      </c>
      <c r="AL97" s="82">
        <f t="shared" ref="AL97:AN97" si="192">STDEV(AL85:AL94)</f>
        <v>2.7304355710507922E-2</v>
      </c>
      <c r="AM97" s="41">
        <f t="shared" si="192"/>
        <v>662403.03273594531</v>
      </c>
      <c r="AN97" s="41">
        <f t="shared" si="192"/>
        <v>175913.58954439685</v>
      </c>
      <c r="AO97" s="35"/>
      <c r="AP97" s="35"/>
      <c r="AQ97" s="35"/>
      <c r="AR97" s="35"/>
      <c r="AS97" s="83">
        <f>STDEV(AS85:AS94)</f>
        <v>0.67494855771055473</v>
      </c>
      <c r="AT97" s="83">
        <f>STDEV(AT85:AT94)</f>
        <v>2.057990223284201E-2</v>
      </c>
      <c r="AU97" s="36"/>
      <c r="AV97" s="51">
        <f>STDEV(AV85:AV94)</f>
        <v>653962.28229666781</v>
      </c>
      <c r="AW97" s="51">
        <f>STDEV(AW85:AW94)</f>
        <v>108429.8831345099</v>
      </c>
      <c r="AX97" s="36"/>
      <c r="AY97" s="36"/>
      <c r="AZ97" s="51">
        <f>STDEV(AZ85:AZ94)</f>
        <v>211.05291595553314</v>
      </c>
      <c r="BA97" s="51">
        <f t="shared" ref="BA97:BE97" si="193">STDEV(BA85:BA94)</f>
        <v>160.55805457493838</v>
      </c>
      <c r="BB97" s="51">
        <f t="shared" si="193"/>
        <v>5.0559106224182111</v>
      </c>
      <c r="BC97" s="51">
        <f t="shared" si="193"/>
        <v>621784.17120055051</v>
      </c>
      <c r="BD97" s="51">
        <f t="shared" si="193"/>
        <v>747095.55200516398</v>
      </c>
      <c r="BE97" s="51">
        <f t="shared" si="193"/>
        <v>6.5621711340911562</v>
      </c>
      <c r="BF97" s="50">
        <f>STDEV(BF85:BF94)</f>
        <v>9.7388112439067438</v>
      </c>
      <c r="BG97" s="50">
        <f t="shared" ref="BG97:BM97" si="194">STDEV(BG85:BG94)</f>
        <v>27668674.625929508</v>
      </c>
      <c r="BH97" s="50">
        <f t="shared" si="194"/>
        <v>29682065.292024408</v>
      </c>
      <c r="BI97" s="50">
        <f t="shared" si="194"/>
        <v>4.9839740055282125</v>
      </c>
      <c r="BJ97" s="50">
        <f t="shared" si="194"/>
        <v>27225503.593941391</v>
      </c>
      <c r="BK97" s="50">
        <f t="shared" si="194"/>
        <v>29284697.001734525</v>
      </c>
      <c r="BL97" s="50">
        <f t="shared" si="194"/>
        <v>6238099.7818958368</v>
      </c>
      <c r="BM97" s="50">
        <f t="shared" si="194"/>
        <v>5.3061212384610243</v>
      </c>
    </row>
    <row r="98" spans="1:65">
      <c r="A98" s="213"/>
      <c r="B98" s="46" t="s">
        <v>197</v>
      </c>
      <c r="C98" s="35"/>
      <c r="D98" s="84">
        <f>COUNTIF(D85:D94,"5")/10*100</f>
        <v>20</v>
      </c>
      <c r="E98" s="35"/>
      <c r="F98" s="35"/>
      <c r="G98" s="35"/>
      <c r="H98" s="35"/>
      <c r="I98" s="35"/>
      <c r="J98" s="35"/>
      <c r="K98" s="36">
        <f>COUNTIF(K86:K94,"1")/10*100</f>
        <v>20</v>
      </c>
      <c r="L98" s="35"/>
      <c r="M98" s="35"/>
      <c r="N98" s="35"/>
      <c r="O98" s="35"/>
      <c r="P98" s="35"/>
      <c r="Q98" s="35"/>
      <c r="R98" s="35"/>
      <c r="S98" s="35"/>
      <c r="T98" s="35"/>
      <c r="U98" s="35"/>
      <c r="V98" s="35"/>
      <c r="W98" s="35"/>
      <c r="X98" s="35"/>
      <c r="Y98" s="35"/>
      <c r="Z98" s="35"/>
      <c r="AA98" s="36">
        <f>COUNTIF(AA85:AA94,"1")/10*100</f>
        <v>100</v>
      </c>
      <c r="AB98" s="35"/>
      <c r="AC98" s="84">
        <f>COUNTIF(AC86:AC94,"5")/10*100</f>
        <v>10</v>
      </c>
      <c r="AD98" s="35"/>
      <c r="AE98" s="35"/>
      <c r="AF98" s="35"/>
      <c r="AG98" s="36">
        <f>COUNTIF(AG85:AG94,"Patah")/10*100</f>
        <v>100</v>
      </c>
      <c r="AH98" s="84">
        <f>COUNTIF(AH85:AH94,"1")/10*100</f>
        <v>0</v>
      </c>
      <c r="AI98" s="36">
        <f>COUNTIF(AI85:AI94,"1")/10*100</f>
        <v>100</v>
      </c>
      <c r="AJ98" s="35"/>
      <c r="AK98" s="84">
        <f>COUNTIF(AK85:AK94,"5")/10*100</f>
        <v>20</v>
      </c>
      <c r="AL98" s="83">
        <f>AVERAGE(AL85:AL94)</f>
        <v>0.15547619047619046</v>
      </c>
      <c r="AM98" s="42"/>
      <c r="AN98" s="42"/>
      <c r="AO98" s="36">
        <f>COUNTIF(AO85:AO94,"Tersumbat")/10*100</f>
        <v>100</v>
      </c>
      <c r="AP98" s="92">
        <f>COUNTIF(AP85:AP94,"1")/10*100</f>
        <v>60</v>
      </c>
      <c r="AQ98" s="36">
        <f>COUNTIF(AQ85:AQ94,"1")/10*100</f>
        <v>100</v>
      </c>
      <c r="AR98" s="35"/>
      <c r="AS98" s="84">
        <f>COUNTIF(AS85:AS94,"5")/10*100</f>
        <v>40</v>
      </c>
      <c r="AT98" s="35"/>
      <c r="AU98" s="36">
        <f>COUNTIF(AU85:AU94,"Jaring")/10*100</f>
        <v>100</v>
      </c>
      <c r="AV98" s="35"/>
      <c r="AW98" s="35"/>
      <c r="AX98" s="36">
        <f>COUNTIF(AX85:AX94,"Tersangkut/robek")/10*100</f>
        <v>100</v>
      </c>
      <c r="AY98" s="92">
        <f>COUNTIF(AY85:AY94,"1")/10*100</f>
        <v>0</v>
      </c>
      <c r="AZ98" s="35"/>
      <c r="BA98" s="35"/>
      <c r="BB98" s="35"/>
      <c r="BC98" s="35"/>
      <c r="BD98" s="35"/>
      <c r="BE98" s="35"/>
      <c r="BF98" s="35"/>
      <c r="BG98" s="35"/>
      <c r="BH98" s="35"/>
      <c r="BI98" s="35"/>
      <c r="BJ98" s="35"/>
      <c r="BK98" s="35"/>
      <c r="BL98" s="35"/>
      <c r="BM98" s="35"/>
    </row>
    <row r="99" spans="1:65">
      <c r="A99" s="213"/>
      <c r="B99" s="35"/>
      <c r="C99" s="35"/>
      <c r="D99" s="84">
        <f>COUNTIF(D85:D94,"6")/10*100</f>
        <v>20</v>
      </c>
      <c r="E99" s="35"/>
      <c r="F99" s="35"/>
      <c r="G99" s="35"/>
      <c r="H99" s="35"/>
      <c r="I99" s="35"/>
      <c r="J99" s="35"/>
      <c r="K99" s="36">
        <f>COUNTIF(K86:K94,"2")/10*100</f>
        <v>70</v>
      </c>
      <c r="L99" s="35"/>
      <c r="M99" s="35"/>
      <c r="N99" s="35"/>
      <c r="O99" s="35"/>
      <c r="P99" s="35"/>
      <c r="Q99" s="35"/>
      <c r="R99" s="35"/>
      <c r="S99" s="35"/>
      <c r="T99" s="35"/>
      <c r="U99" s="35"/>
      <c r="V99" s="35"/>
      <c r="W99" s="35"/>
      <c r="X99" s="35"/>
      <c r="Y99" s="35"/>
      <c r="Z99" s="35"/>
      <c r="AA99" s="35"/>
      <c r="AB99" s="35"/>
      <c r="AC99" s="84">
        <f>COUNTIF(AC86:AC94,"6")/10*100</f>
        <v>50</v>
      </c>
      <c r="AD99" s="35"/>
      <c r="AE99" s="35"/>
      <c r="AF99" s="35"/>
      <c r="AG99" s="35"/>
      <c r="AH99" s="84">
        <f>COUNTIF(AH85:AH94,"2")/10*100</f>
        <v>0</v>
      </c>
      <c r="AI99" s="35"/>
      <c r="AJ99" s="35"/>
      <c r="AK99" s="84">
        <f>COUNTIF(AK85:AK94,"6")/10*100</f>
        <v>20</v>
      </c>
      <c r="AL99" s="35"/>
      <c r="AM99" s="35"/>
      <c r="AN99" s="35"/>
      <c r="AO99" s="35"/>
      <c r="AP99" s="92">
        <f>COUNTIF(AP85:AP94,"2")/10*100</f>
        <v>0</v>
      </c>
      <c r="AQ99" s="35"/>
      <c r="AR99" s="35"/>
      <c r="AS99" s="84">
        <f>COUNTIF(AS85:AS94,"6")/10*100</f>
        <v>50</v>
      </c>
      <c r="AT99" s="35"/>
      <c r="AU99" s="35"/>
      <c r="AV99" s="35"/>
      <c r="AW99" s="35"/>
      <c r="AX99" s="35"/>
      <c r="AY99" s="92">
        <f>COUNTIF(AY85:AY94,"2")/10*100</f>
        <v>0</v>
      </c>
      <c r="AZ99" s="35"/>
      <c r="BA99" s="35"/>
      <c r="BB99" s="35"/>
      <c r="BC99" s="35"/>
      <c r="BD99" s="35"/>
      <c r="BE99" s="35"/>
      <c r="BF99" s="35"/>
      <c r="BG99" s="35"/>
      <c r="BH99" s="35"/>
      <c r="BI99" s="35"/>
      <c r="BJ99" s="35"/>
      <c r="BK99" s="35"/>
      <c r="BL99" s="35"/>
      <c r="BM99" s="35"/>
    </row>
    <row r="100" spans="1:65">
      <c r="A100" s="213"/>
      <c r="B100" s="35"/>
      <c r="C100" s="35"/>
      <c r="D100" s="84">
        <f>COUNTIF(D85:D94,"7")/10*100</f>
        <v>40</v>
      </c>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84">
        <f>COUNTIF(AC86:AC94,"7")/10*100</f>
        <v>20</v>
      </c>
      <c r="AD100" s="35"/>
      <c r="AE100" s="35"/>
      <c r="AF100" s="35"/>
      <c r="AG100" s="35"/>
      <c r="AH100" s="84">
        <f>COUNTIF(AH85:AH94,"3")/10*100</f>
        <v>0</v>
      </c>
      <c r="AI100" s="35"/>
      <c r="AJ100" s="35"/>
      <c r="AK100" s="84">
        <f>COUNTIF(AK85:AK94,"7")/10*100</f>
        <v>40</v>
      </c>
      <c r="AL100" s="35"/>
      <c r="AM100" s="35"/>
      <c r="AN100" s="35"/>
      <c r="AO100" s="35"/>
      <c r="AP100" s="92">
        <f>COUNTIF(AP85:AP94,"3")/10*100</f>
        <v>40</v>
      </c>
      <c r="AQ100" s="35"/>
      <c r="AR100" s="35"/>
      <c r="AS100" s="84">
        <f>COUNTIF(AS85:AS94,"7")/10*100</f>
        <v>10</v>
      </c>
      <c r="AT100" s="35"/>
      <c r="AU100" s="35"/>
      <c r="AV100" s="35"/>
      <c r="AW100" s="35"/>
      <c r="AX100" s="35"/>
      <c r="AY100" s="92">
        <f>COUNTIF(AY85:AY94,"3")/10*100</f>
        <v>0</v>
      </c>
      <c r="AZ100" s="35"/>
      <c r="BA100" s="35"/>
      <c r="BB100" s="35"/>
      <c r="BC100" s="35"/>
      <c r="BD100" s="35"/>
      <c r="BE100" s="35"/>
      <c r="BF100" s="35"/>
      <c r="BG100" s="35"/>
      <c r="BH100" s="35"/>
      <c r="BI100" s="35"/>
      <c r="BJ100" s="35"/>
      <c r="BK100" s="35"/>
      <c r="BL100" s="35"/>
      <c r="BM100" s="35"/>
    </row>
    <row r="101" spans="1:65">
      <c r="A101" s="213"/>
      <c r="B101" s="35"/>
      <c r="C101" s="35"/>
      <c r="D101" s="84">
        <f>COUNTIF(D85:D94,"8")/10*100</f>
        <v>20</v>
      </c>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84">
        <f>COUNTIF(AH85:AH94,"4")/10*100</f>
        <v>50</v>
      </c>
      <c r="AI101" s="35"/>
      <c r="AJ101" s="35"/>
      <c r="AK101" s="84">
        <f>COUNTIF(AK85:AK94,"8")/10*100</f>
        <v>20</v>
      </c>
      <c r="AL101" s="35"/>
      <c r="AM101" s="35"/>
      <c r="AN101" s="35"/>
      <c r="AO101" s="35"/>
      <c r="AP101" s="92">
        <f>COUNTIF(AP85:AP94,"4")/10*100</f>
        <v>0</v>
      </c>
      <c r="AQ101" s="35"/>
      <c r="AR101" s="35"/>
      <c r="AS101" s="35"/>
      <c r="AT101" s="35"/>
      <c r="AU101" s="35"/>
      <c r="AV101" s="35"/>
      <c r="AW101" s="35"/>
      <c r="AX101" s="35"/>
      <c r="AY101" s="105">
        <f>COUNTIF(AY85:AY94,"4")/10*100</f>
        <v>40</v>
      </c>
      <c r="AZ101" s="35"/>
      <c r="BA101" s="35"/>
      <c r="BB101" s="35"/>
      <c r="BC101" s="35"/>
      <c r="BD101" s="35"/>
      <c r="BE101" s="35"/>
      <c r="BF101" s="35"/>
      <c r="BG101" s="35"/>
      <c r="BH101" s="35"/>
      <c r="BI101" s="35"/>
      <c r="BJ101" s="35"/>
      <c r="BK101" s="35"/>
      <c r="BL101" s="35"/>
      <c r="BM101" s="35"/>
    </row>
    <row r="102" spans="1:65">
      <c r="A102" s="213"/>
      <c r="B102" s="35"/>
      <c r="C102" s="35"/>
      <c r="D102" s="84"/>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84">
        <f>COUNTIF(AH85:AH94,"5")/10*100</f>
        <v>20</v>
      </c>
      <c r="AI102" s="35"/>
      <c r="AJ102" s="35"/>
      <c r="AK102" s="36"/>
      <c r="AL102" s="35"/>
      <c r="AM102" s="35"/>
      <c r="AN102" s="35"/>
      <c r="AO102" s="35"/>
      <c r="AP102" s="92">
        <f>COUNTIF(AP85:AP94,"5")/10*100</f>
        <v>0</v>
      </c>
      <c r="AQ102" s="35"/>
      <c r="AR102" s="35"/>
      <c r="AS102" s="35"/>
      <c r="AT102" s="35"/>
      <c r="AU102" s="35"/>
      <c r="AV102" s="35"/>
      <c r="AW102" s="35"/>
      <c r="AX102" s="35"/>
      <c r="AY102" s="105">
        <f>COUNTIF(AY85:AY94,"5")/10*100</f>
        <v>50</v>
      </c>
      <c r="AZ102" s="35"/>
      <c r="BA102" s="35"/>
      <c r="BB102" s="35"/>
      <c r="BC102" s="35"/>
      <c r="BD102" s="35"/>
      <c r="BE102" s="35"/>
      <c r="BF102" s="35"/>
      <c r="BG102" s="35"/>
      <c r="BH102" s="35"/>
      <c r="BI102" s="35"/>
      <c r="BJ102" s="35"/>
      <c r="BK102" s="35"/>
      <c r="BL102" s="35"/>
      <c r="BM102" s="35"/>
    </row>
    <row r="103" spans="1:65">
      <c r="A103" s="213"/>
      <c r="B103" s="35"/>
      <c r="C103" s="35"/>
      <c r="D103" s="84"/>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84">
        <f>COUNTIF(AH85:AH94,"6")/10*100</f>
        <v>30</v>
      </c>
      <c r="AI103" s="35"/>
      <c r="AJ103" s="35"/>
      <c r="AK103" s="36"/>
      <c r="AL103" s="35"/>
      <c r="AM103" s="35"/>
      <c r="AN103" s="35"/>
      <c r="AO103" s="35"/>
      <c r="AP103" s="92">
        <f>COUNTIF(AP85:AP94,"6")/10*100</f>
        <v>0</v>
      </c>
      <c r="AQ103" s="35"/>
      <c r="AR103" s="35"/>
      <c r="AS103" s="35"/>
      <c r="AT103" s="35"/>
      <c r="AU103" s="35"/>
      <c r="AV103" s="35"/>
      <c r="AW103" s="35"/>
      <c r="AX103" s="35"/>
      <c r="AY103" s="105">
        <f>COUNTIF(AY85:AY94,"6")/10*100</f>
        <v>10</v>
      </c>
      <c r="AZ103" s="35"/>
      <c r="BA103" s="35"/>
      <c r="BB103" s="35"/>
      <c r="BC103" s="35"/>
      <c r="BD103" s="35"/>
      <c r="BE103" s="35"/>
      <c r="BF103" s="35"/>
      <c r="BG103" s="35"/>
      <c r="BH103" s="35"/>
      <c r="BI103" s="35"/>
      <c r="BJ103" s="35"/>
      <c r="BK103" s="35"/>
      <c r="BL103" s="35"/>
      <c r="BM103" s="35"/>
    </row>
    <row r="104" spans="1:65">
      <c r="A104" s="213"/>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row>
  </sheetData>
  <mergeCells count="24">
    <mergeCell ref="C3:E3"/>
    <mergeCell ref="B3:B4"/>
    <mergeCell ref="A3:A4"/>
    <mergeCell ref="F3:J3"/>
    <mergeCell ref="K3:K4"/>
    <mergeCell ref="BJ3:BM3"/>
    <mergeCell ref="BF3:BF4"/>
    <mergeCell ref="L3:P3"/>
    <mergeCell ref="AA3:AA4"/>
    <mergeCell ref="AI3:AI4"/>
    <mergeCell ref="AJ3:AP3"/>
    <mergeCell ref="AB3:AH3"/>
    <mergeCell ref="AQ3:AQ4"/>
    <mergeCell ref="AR3:AY3"/>
    <mergeCell ref="Q3:U3"/>
    <mergeCell ref="V3:Z3"/>
    <mergeCell ref="BC3:BE3"/>
    <mergeCell ref="BG3:BI3"/>
    <mergeCell ref="AZ3:BB3"/>
    <mergeCell ref="A15:A24"/>
    <mergeCell ref="A35:A44"/>
    <mergeCell ref="A55:A64"/>
    <mergeCell ref="A75:A84"/>
    <mergeCell ref="A95:A104"/>
  </mergeCells>
  <pageMargins left="0.7" right="0.7" top="0.75" bottom="0.75" header="0.3" footer="0.3"/>
  <pageSetup orientation="portrait" horizontalDpi="360" verticalDpi="36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80" zoomScaleNormal="80" workbookViewId="0">
      <pane xSplit="6" ySplit="5" topLeftCell="G6" activePane="bottomRight" state="frozen"/>
      <selection pane="topRight" activeCell="G1" sqref="G1"/>
      <selection pane="bottomLeft" activeCell="A6" sqref="A6"/>
      <selection pane="bottomRight" activeCell="G9" sqref="G9"/>
    </sheetView>
  </sheetViews>
  <sheetFormatPr defaultRowHeight="14.5"/>
  <cols>
    <col min="1" max="1" width="6.1796875" customWidth="1"/>
    <col min="2" max="2" width="19.6328125" customWidth="1"/>
    <col min="3" max="3" width="24.08984375" bestFit="1" customWidth="1"/>
    <col min="5" max="5" width="22.36328125" customWidth="1"/>
    <col min="6" max="6" width="19.08984375" customWidth="1"/>
    <col min="7" max="7" width="13.08984375" style="118" bestFit="1" customWidth="1"/>
    <col min="8" max="8" width="14.08984375" style="118" customWidth="1"/>
    <col min="9" max="9" width="13.08984375" style="118" customWidth="1"/>
    <col min="10" max="10" width="13.1796875" style="118" bestFit="1" customWidth="1"/>
    <col min="11" max="11" width="14.453125" style="153" bestFit="1" customWidth="1"/>
    <col min="12" max="12" width="13.1796875" style="118" bestFit="1" customWidth="1"/>
    <col min="13" max="13" width="14.453125" style="118" bestFit="1" customWidth="1"/>
    <col min="14" max="14" width="13.1796875" style="118" bestFit="1" customWidth="1"/>
    <col min="15" max="15" width="15.54296875" bestFit="1" customWidth="1"/>
    <col min="16" max="16" width="14.453125" bestFit="1" customWidth="1"/>
  </cols>
  <sheetData>
    <row r="1" spans="1:16" s="1" customFormat="1" ht="14">
      <c r="A1" s="1" t="s">
        <v>313</v>
      </c>
      <c r="G1" s="132"/>
      <c r="H1" s="132"/>
      <c r="I1" s="132"/>
      <c r="J1" s="132"/>
      <c r="K1" s="151"/>
      <c r="L1" s="132"/>
      <c r="M1" s="132"/>
      <c r="N1" s="132"/>
    </row>
    <row r="3" spans="1:16">
      <c r="A3" s="228" t="s">
        <v>215</v>
      </c>
      <c r="B3" s="228" t="s">
        <v>314</v>
      </c>
      <c r="C3" s="228"/>
      <c r="D3" s="228" t="s">
        <v>217</v>
      </c>
      <c r="E3" s="228" t="s">
        <v>320</v>
      </c>
      <c r="F3" s="228" t="s">
        <v>350</v>
      </c>
      <c r="G3" s="226" t="s">
        <v>324</v>
      </c>
      <c r="H3" s="226"/>
      <c r="I3" s="226"/>
      <c r="J3" s="226"/>
      <c r="K3" s="226"/>
      <c r="L3" s="226"/>
      <c r="M3" s="226"/>
      <c r="N3" s="226"/>
      <c r="O3" s="226"/>
      <c r="P3" s="226"/>
    </row>
    <row r="4" spans="1:16">
      <c r="A4" s="229"/>
      <c r="B4" s="229"/>
      <c r="C4" s="229"/>
      <c r="D4" s="229"/>
      <c r="E4" s="229"/>
      <c r="F4" s="229"/>
      <c r="G4" s="226" t="s">
        <v>325</v>
      </c>
      <c r="H4" s="226"/>
      <c r="I4" s="226" t="s">
        <v>326</v>
      </c>
      <c r="J4" s="226"/>
      <c r="K4" s="226" t="s">
        <v>327</v>
      </c>
      <c r="L4" s="226"/>
      <c r="M4" s="226" t="s">
        <v>328</v>
      </c>
      <c r="N4" s="226"/>
      <c r="O4" s="226" t="s">
        <v>329</v>
      </c>
      <c r="P4" s="226"/>
    </row>
    <row r="5" spans="1:16">
      <c r="A5" s="230"/>
      <c r="B5" s="230"/>
      <c r="C5" s="230"/>
      <c r="D5" s="230"/>
      <c r="E5" s="230"/>
      <c r="F5" s="230"/>
      <c r="G5" s="78" t="s">
        <v>141</v>
      </c>
      <c r="H5" s="78" t="s">
        <v>345</v>
      </c>
      <c r="I5" s="78" t="s">
        <v>141</v>
      </c>
      <c r="J5" s="125" t="s">
        <v>345</v>
      </c>
      <c r="K5" s="127" t="s">
        <v>141</v>
      </c>
      <c r="L5" s="126" t="s">
        <v>345</v>
      </c>
      <c r="M5" s="124" t="s">
        <v>141</v>
      </c>
      <c r="N5" s="124" t="s">
        <v>345</v>
      </c>
      <c r="O5" s="78" t="s">
        <v>141</v>
      </c>
      <c r="P5" s="78" t="s">
        <v>345</v>
      </c>
    </row>
    <row r="6" spans="1:16" ht="13" customHeight="1">
      <c r="A6" s="185" t="s">
        <v>21</v>
      </c>
      <c r="B6" s="186" t="s">
        <v>315</v>
      </c>
      <c r="C6" s="199" t="s">
        <v>316</v>
      </c>
      <c r="D6" s="227" t="s">
        <v>318</v>
      </c>
      <c r="E6" s="119" t="s">
        <v>321</v>
      </c>
      <c r="F6" s="119"/>
      <c r="G6" s="117">
        <f>'Tabulasi Kerugian Ekonomi'!F16</f>
        <v>2.35</v>
      </c>
      <c r="H6" s="117">
        <f>'Tabulasi Kerugian Ekonomi'!F17</f>
        <v>0.88349055204657134</v>
      </c>
      <c r="I6" s="128">
        <f>'Tabulasi Kerugian Ekonomi'!F36</f>
        <v>5.9</v>
      </c>
      <c r="J6" s="129">
        <f>'Tabulasi Kerugian Ekonomi'!F37</f>
        <v>1.1972189997378637</v>
      </c>
      <c r="K6" s="128">
        <f>'Tabulasi Kerugian Ekonomi'!F56</f>
        <v>24.8</v>
      </c>
      <c r="L6" s="130">
        <f>'Tabulasi Kerugian Ekonomi'!F57</f>
        <v>2.2997584414213783</v>
      </c>
      <c r="M6" s="160">
        <f>'Tabulasi Kerugian Ekonomi'!F76</f>
        <v>43.7</v>
      </c>
      <c r="N6" s="160">
        <f>'Tabulasi Kerugian Ekonomi'!F77</f>
        <v>7.5726114679444825</v>
      </c>
      <c r="O6" s="123">
        <f>'Tabulasi Kerugian Ekonomi'!F96</f>
        <v>84.9</v>
      </c>
      <c r="P6" s="123">
        <f>'Tabulasi Kerugian Ekonomi'!F97</f>
        <v>12.696893758361155</v>
      </c>
    </row>
    <row r="7" spans="1:16">
      <c r="A7" s="185"/>
      <c r="B7" s="186"/>
      <c r="C7" s="199"/>
      <c r="D7" s="227"/>
      <c r="E7" s="119" t="s">
        <v>322</v>
      </c>
      <c r="F7" s="119"/>
      <c r="G7" s="117">
        <f>'Tabulasi Kerugian Ekonomi'!L16</f>
        <v>2.85</v>
      </c>
      <c r="H7" s="117">
        <f>'Tabulasi Kerugian Ekonomi'!L17</f>
        <v>0.91439111495634717</v>
      </c>
      <c r="I7" s="128">
        <f>'Tabulasi Kerugian Ekonomi'!L36</f>
        <v>6.85</v>
      </c>
      <c r="J7" s="129">
        <f>'Tabulasi Kerugian Ekonomi'!L37</f>
        <v>0.85146931829631856</v>
      </c>
      <c r="K7" s="128">
        <f>'Tabulasi Kerugian Ekonomi'!L56</f>
        <v>29.3</v>
      </c>
      <c r="L7" s="130">
        <f>'Tabulasi Kerugian Ekonomi'!L57</f>
        <v>2.4517567397911058</v>
      </c>
      <c r="M7" s="131">
        <f>'Tabulasi Kerugian Ekonomi'!L76</f>
        <v>50.9</v>
      </c>
      <c r="N7" s="131">
        <f>'Tabulasi Kerugian Ekonomi'!L77</f>
        <v>8.4911718861415224</v>
      </c>
      <c r="O7" s="122">
        <f>'Tabulasi Kerugian Ekonomi'!L96</f>
        <v>89.4</v>
      </c>
      <c r="P7" s="122">
        <f>'Tabulasi Kerugian Ekonomi'!L97</f>
        <v>14.781369655376604</v>
      </c>
    </row>
    <row r="8" spans="1:16" s="118" customFormat="1">
      <c r="A8" s="185"/>
      <c r="B8" s="186"/>
      <c r="C8" s="199"/>
      <c r="D8" s="116" t="s">
        <v>319</v>
      </c>
      <c r="E8" s="60" t="s">
        <v>333</v>
      </c>
      <c r="F8" s="60"/>
      <c r="G8" s="174">
        <f>'Tabulasi Kerugian Ekonomi'!V16</f>
        <v>24.583333333333332</v>
      </c>
      <c r="H8" s="117">
        <f>'Tabulasi Kerugian Ekonomi'!V17</f>
        <v>13.386756400023883</v>
      </c>
      <c r="I8" s="173">
        <f>'Tabulasi Kerugian Ekonomi'!V36</f>
        <v>19.38095238095238</v>
      </c>
      <c r="J8" s="129">
        <f>'Tabulasi Kerugian Ekonomi'!V37</f>
        <v>24.037847037516542</v>
      </c>
      <c r="K8" s="173">
        <f>'Tabulasi Kerugian Ekonomi'!V56</f>
        <v>18.684637584637589</v>
      </c>
      <c r="L8" s="130">
        <f>'Tabulasi Kerugian Ekonomi'!V57</f>
        <v>10.922620236890518</v>
      </c>
      <c r="M8" s="122">
        <f>'Tabulasi Kerugian Ekonomi'!V76</f>
        <v>17.32595428085337</v>
      </c>
      <c r="N8" s="131">
        <f>'Tabulasi Kerugian Ekonomi'!V77</f>
        <v>14.108043832889434</v>
      </c>
      <c r="O8" s="122">
        <f>'Tabulasi Kerugian Ekonomi'!V96</f>
        <v>5.1737480846210264</v>
      </c>
      <c r="P8" s="131">
        <f>'Tabulasi Kerugian Ekonomi'!V97</f>
        <v>3.699808331340118</v>
      </c>
    </row>
    <row r="9" spans="1:16" ht="15.5" customHeight="1">
      <c r="A9" s="185"/>
      <c r="B9" s="186"/>
      <c r="C9" s="199" t="s">
        <v>317</v>
      </c>
      <c r="D9" s="227" t="s">
        <v>323</v>
      </c>
      <c r="E9" s="119" t="s">
        <v>321</v>
      </c>
      <c r="F9" s="119"/>
      <c r="G9" s="174">
        <f>'Tabulasi Kerugian Ekonomi'!G16</f>
        <v>2.2999999999999998</v>
      </c>
      <c r="H9" s="117">
        <f>'Tabulasi Kerugian Ekonomi'!G17</f>
        <v>0.67494855771055307</v>
      </c>
      <c r="I9" s="173">
        <f>'Tabulasi Kerugian Ekonomi'!G36</f>
        <v>3</v>
      </c>
      <c r="J9" s="129">
        <f>'Tabulasi Kerugian Ekonomi'!G37</f>
        <v>0.70710678118654757</v>
      </c>
      <c r="K9" s="173">
        <f>'Tabulasi Kerugian Ekonomi'!G56</f>
        <v>2.85</v>
      </c>
      <c r="L9" s="130">
        <f>'Tabulasi Kerugian Ekonomi'!G57</f>
        <v>0.47434164902525761</v>
      </c>
      <c r="M9" s="122">
        <f>'Tabulasi Kerugian Ekonomi'!G76</f>
        <v>4.05</v>
      </c>
      <c r="N9" s="131">
        <f>'Tabulasi Kerugian Ekonomi'!G77</f>
        <v>1.0394977419675113</v>
      </c>
      <c r="O9" s="122">
        <f>'Tabulasi Kerugian Ekonomi'!G96</f>
        <v>5.5</v>
      </c>
      <c r="P9" s="122">
        <f>'Tabulasi Kerugian Ekonomi'!G97</f>
        <v>1.0801234497346435</v>
      </c>
    </row>
    <row r="10" spans="1:16">
      <c r="A10" s="185"/>
      <c r="B10" s="186"/>
      <c r="C10" s="199"/>
      <c r="D10" s="227"/>
      <c r="E10" s="119" t="s">
        <v>322</v>
      </c>
      <c r="F10" s="119"/>
      <c r="G10" s="174">
        <f>'Tabulasi Kerugian Ekonomi'!M16</f>
        <v>2.9</v>
      </c>
      <c r="H10" s="117">
        <f>'Tabulasi Kerugian Ekonomi'!M17</f>
        <v>0.77459666924148374</v>
      </c>
      <c r="I10" s="173">
        <f>'Tabulasi Kerugian Ekonomi'!M36</f>
        <v>3.6</v>
      </c>
      <c r="J10" s="129">
        <f>'Tabulasi Kerugian Ekonomi'!M37</f>
        <v>0.69920589878010153</v>
      </c>
      <c r="K10" s="173">
        <f>'Tabulasi Kerugian Ekonomi'!M56</f>
        <v>3.53</v>
      </c>
      <c r="L10" s="130">
        <f>'Tabulasi Kerugian Ekonomi'!M57</f>
        <v>0.53551636555550874</v>
      </c>
      <c r="M10" s="122">
        <f>'Tabulasi Kerugian Ekonomi'!M76</f>
        <v>5.4</v>
      </c>
      <c r="N10" s="131">
        <f>'Tabulasi Kerugian Ekonomi'!M77</f>
        <v>1.523883926754994</v>
      </c>
      <c r="O10" s="122">
        <f>'Tabulasi Kerugian Ekonomi'!M96</f>
        <v>6.55</v>
      </c>
      <c r="P10" s="122">
        <f>'Tabulasi Kerugian Ekonomi'!M97</f>
        <v>1.2122064363978797</v>
      </c>
    </row>
    <row r="11" spans="1:16" s="118" customFormat="1">
      <c r="A11" s="185"/>
      <c r="B11" s="186"/>
      <c r="C11" s="199"/>
      <c r="D11" s="163" t="s">
        <v>319</v>
      </c>
      <c r="E11" s="60" t="s">
        <v>333</v>
      </c>
      <c r="F11" s="60"/>
      <c r="G11" s="174">
        <f>'Tabulasi Kerugian Ekonomi'!W16</f>
        <v>28.333333333333332</v>
      </c>
      <c r="H11" s="117">
        <f>'Tabulasi Kerugian Ekonomi'!W17</f>
        <v>17.213259316477409</v>
      </c>
      <c r="I11" s="173">
        <f>'Tabulasi Kerugian Ekonomi'!W36</f>
        <v>25.095238095238095</v>
      </c>
      <c r="J11" s="129">
        <f>'Tabulasi Kerugian Ekonomi'!W37</f>
        <v>35.356621769448594</v>
      </c>
      <c r="K11" s="173">
        <f>'Tabulasi Kerugian Ekonomi'!W56</f>
        <v>24.25</v>
      </c>
      <c r="L11" s="130">
        <f>'Tabulasi Kerugian Ekonomi'!W57</f>
        <v>8.7352167887053067</v>
      </c>
      <c r="M11" s="122">
        <f>'Tabulasi Kerugian Ekonomi'!W76</f>
        <v>33.322510822510814</v>
      </c>
      <c r="N11" s="131">
        <f>'Tabulasi Kerugian Ekonomi'!W77</f>
        <v>15.897384711320965</v>
      </c>
      <c r="O11" s="122">
        <f>'Tabulasi Kerugian Ekonomi'!W96</f>
        <v>15.849121466768523</v>
      </c>
      <c r="P11" s="131">
        <f>'Tabulasi Kerugian Ekonomi'!W97</f>
        <v>8.4071720545712747</v>
      </c>
    </row>
    <row r="12" spans="1:16" ht="18" customHeight="1">
      <c r="A12" s="185" t="s">
        <v>22</v>
      </c>
      <c r="B12" s="199" t="s">
        <v>352</v>
      </c>
      <c r="C12" s="199" t="s">
        <v>330</v>
      </c>
      <c r="D12" s="227" t="s">
        <v>331</v>
      </c>
      <c r="E12" s="119" t="s">
        <v>321</v>
      </c>
      <c r="F12" s="119"/>
      <c r="G12" s="174">
        <f>'Tabulasi Kerugian Ekonomi'!H16</f>
        <v>3.8</v>
      </c>
      <c r="H12" s="117">
        <f>'Tabulasi Kerugian Ekonomi'!H17</f>
        <v>0.71492035298424017</v>
      </c>
      <c r="I12" s="173">
        <f>'Tabulasi Kerugian Ekonomi'!H36</f>
        <v>17.3</v>
      </c>
      <c r="J12" s="129">
        <f>'Tabulasi Kerugian Ekonomi'!H37</f>
        <v>4.3982319680121957</v>
      </c>
      <c r="K12" s="173">
        <f>'Tabulasi Kerugian Ekonomi'!H56</f>
        <v>21.7</v>
      </c>
      <c r="L12" s="130">
        <f>'Tabulasi Kerugian Ekonomi'!H57</f>
        <v>2.7908580918579378</v>
      </c>
      <c r="M12" s="122">
        <f>'Tabulasi Kerugian Ekonomi'!H76</f>
        <v>32.6</v>
      </c>
      <c r="N12" s="131">
        <f>'Tabulasi Kerugian Ekonomi'!H77</f>
        <v>6.0955357070199758</v>
      </c>
      <c r="O12" s="122">
        <f>'Tabulasi Kerugian Ekonomi'!H96</f>
        <v>62.8</v>
      </c>
      <c r="P12" s="122">
        <f>'Tabulasi Kerugian Ekonomi'!H97</f>
        <v>10.141224997230083</v>
      </c>
    </row>
    <row r="13" spans="1:16">
      <c r="A13" s="185"/>
      <c r="B13" s="199"/>
      <c r="C13" s="199"/>
      <c r="D13" s="227"/>
      <c r="E13" s="119" t="s">
        <v>322</v>
      </c>
      <c r="F13" s="119"/>
      <c r="G13" s="174">
        <f>'Tabulasi Kerugian Ekonomi'!N16</f>
        <v>5.55</v>
      </c>
      <c r="H13" s="117">
        <f>'Tabulasi Kerugian Ekonomi'!N17</f>
        <v>1.0394977419675129</v>
      </c>
      <c r="I13" s="173">
        <f>'Tabulasi Kerugian Ekonomi'!N36</f>
        <v>22.9</v>
      </c>
      <c r="J13" s="129">
        <f>'Tabulasi Kerugian Ekonomi'!N37</f>
        <v>2.6012817353502151</v>
      </c>
      <c r="K13" s="173">
        <f>'Tabulasi Kerugian Ekonomi'!N56</f>
        <v>24.5</v>
      </c>
      <c r="L13" s="130">
        <f>'Tabulasi Kerugian Ekonomi'!N57</f>
        <v>2.8382310609877335</v>
      </c>
      <c r="M13" s="122">
        <f>'Tabulasi Kerugian Ekonomi'!N76</f>
        <v>37.299999999999997</v>
      </c>
      <c r="N13" s="131">
        <f>'Tabulasi Kerugian Ekonomi'!N77</f>
        <v>6.5328231093286018</v>
      </c>
      <c r="O13" s="122">
        <f>'Tabulasi Kerugian Ekonomi'!N96</f>
        <v>66.900000000000006</v>
      </c>
      <c r="P13" s="122">
        <f>'Tabulasi Kerugian Ekonomi'!N97</f>
        <v>11.069979423849198</v>
      </c>
    </row>
    <row r="14" spans="1:16" s="118" customFormat="1">
      <c r="A14" s="185"/>
      <c r="B14" s="199"/>
      <c r="C14" s="199"/>
      <c r="D14" s="116" t="s">
        <v>319</v>
      </c>
      <c r="E14" s="60" t="s">
        <v>333</v>
      </c>
      <c r="F14" s="60"/>
      <c r="G14" s="174">
        <f>'Tabulasi Kerugian Ekonomi'!X16</f>
        <v>46.845238095238095</v>
      </c>
      <c r="H14" s="117">
        <f>'Tabulasi Kerugian Ekonomi'!X17</f>
        <v>15.846431110403362</v>
      </c>
      <c r="I14" s="173">
        <f>'Tabulasi Kerugian Ekonomi'!X36</f>
        <v>38.077777777777769</v>
      </c>
      <c r="J14" s="129">
        <f>'Tabulasi Kerugian Ekonomi'!X37</f>
        <v>27.62863914419637</v>
      </c>
      <c r="K14" s="173">
        <f>'Tabulasi Kerugian Ekonomi'!X56</f>
        <v>13.259125085440875</v>
      </c>
      <c r="L14" s="130">
        <f>'Tabulasi Kerugian Ekonomi'!X57</f>
        <v>8.0288865266911316</v>
      </c>
      <c r="M14" s="122">
        <f>'Tabulasi Kerugian Ekonomi'!X76</f>
        <v>14.791540081347028</v>
      </c>
      <c r="N14" s="131">
        <f>'Tabulasi Kerugian Ekonomi'!X77</f>
        <v>9.271990933968425</v>
      </c>
      <c r="O14" s="122">
        <f>'Tabulasi Kerugian Ekonomi'!X96</f>
        <v>6.1304424873446726</v>
      </c>
      <c r="P14" s="131">
        <f>'Tabulasi Kerugian Ekonomi'!X97</f>
        <v>6.6903313418888573</v>
      </c>
    </row>
    <row r="15" spans="1:16" ht="12.5" customHeight="1">
      <c r="A15" s="185"/>
      <c r="B15" s="199"/>
      <c r="C15" s="199" t="s">
        <v>332</v>
      </c>
      <c r="D15" s="227" t="s">
        <v>334</v>
      </c>
      <c r="E15" s="119" t="s">
        <v>321</v>
      </c>
      <c r="F15" s="119"/>
      <c r="G15" s="181">
        <f>'Tabulasi Kerugian Ekonomi'!I16</f>
        <v>19000</v>
      </c>
      <c r="H15" s="128">
        <f>'Tabulasi Kerugian Ekonomi'!I17</f>
        <v>3574.6017649212026</v>
      </c>
      <c r="I15" s="173">
        <f>'Tabulasi Kerugian Ekonomi'!I36</f>
        <v>90000</v>
      </c>
      <c r="J15" s="129">
        <f>'Tabulasi Kerugian Ekonomi'!I37</f>
        <v>22730.302828309759</v>
      </c>
      <c r="K15" s="173">
        <f>'Tabulasi Kerugian Ekonomi'!I56</f>
        <v>108500</v>
      </c>
      <c r="L15" s="130">
        <f>'Tabulasi Kerugian Ekonomi'!I57</f>
        <v>13954.290459289652</v>
      </c>
      <c r="M15" s="122">
        <f>'Tabulasi Kerugian Ekonomi'!I76</f>
        <v>163000</v>
      </c>
      <c r="N15" s="131">
        <f>'Tabulasi Kerugian Ekonomi'!I77</f>
        <v>30477.678535099894</v>
      </c>
      <c r="O15" s="122">
        <f>'Tabulasi Kerugian Ekonomi'!I96</f>
        <v>314000</v>
      </c>
      <c r="P15" s="122">
        <f>'Tabulasi Kerugian Ekonomi'!I97</f>
        <v>50706.124986150455</v>
      </c>
    </row>
    <row r="16" spans="1:16">
      <c r="A16" s="185"/>
      <c r="B16" s="199"/>
      <c r="C16" s="199"/>
      <c r="D16" s="227"/>
      <c r="E16" s="119" t="s">
        <v>322</v>
      </c>
      <c r="F16" s="119"/>
      <c r="G16" s="181">
        <f>'Tabulasi Kerugian Ekonomi'!O16</f>
        <v>27750</v>
      </c>
      <c r="H16" s="128">
        <f>'Tabulasi Kerugian Ekonomi'!O17</f>
        <v>5197.4887098375584</v>
      </c>
      <c r="I16" s="173">
        <f>'Tabulasi Kerugian Ekonomi'!O36</f>
        <v>119500</v>
      </c>
      <c r="J16" s="129">
        <f>'Tabulasi Kerugian Ekonomi'!O37</f>
        <v>16064.107680028654</v>
      </c>
      <c r="K16" s="173">
        <f>'Tabulasi Kerugian Ekonomi'!O56</f>
        <v>122500</v>
      </c>
      <c r="L16" s="130">
        <f>'Tabulasi Kerugian Ekonomi'!O57</f>
        <v>14191.155304938668</v>
      </c>
      <c r="M16" s="122">
        <f>'Tabulasi Kerugian Ekonomi'!O76</f>
        <v>186500</v>
      </c>
      <c r="N16" s="131">
        <f>'Tabulasi Kerugian Ekonomi'!O77</f>
        <v>32664.115546642992</v>
      </c>
      <c r="O16" s="122">
        <f>'Tabulasi Kerugian Ekonomi'!O96</f>
        <v>334500</v>
      </c>
      <c r="P16" s="122">
        <f>'Tabulasi Kerugian Ekonomi'!O97</f>
        <v>55349.89711924595</v>
      </c>
    </row>
    <row r="17" spans="1:16" s="118" customFormat="1">
      <c r="A17" s="185"/>
      <c r="B17" s="199"/>
      <c r="C17" s="199"/>
      <c r="D17" s="116" t="s">
        <v>319</v>
      </c>
      <c r="E17" s="60" t="s">
        <v>333</v>
      </c>
      <c r="F17" s="60"/>
      <c r="G17" s="174">
        <f>'Tabulasi Kerugian Ekonomi'!Y16</f>
        <v>46.845238095238095</v>
      </c>
      <c r="H17" s="117">
        <f>'Tabulasi Kerugian Ekonomi'!Y17</f>
        <v>15.846431110403362</v>
      </c>
      <c r="I17" s="173">
        <f>'Tabulasi Kerugian Ekonomi'!Y36</f>
        <v>38.38080808080808</v>
      </c>
      <c r="J17" s="129">
        <f>'Tabulasi Kerugian Ekonomi'!Y37</f>
        <v>27.587407680352371</v>
      </c>
      <c r="K17" s="173">
        <f>'Tabulasi Kerugian Ekonomi'!Y56</f>
        <v>13.259125085440875</v>
      </c>
      <c r="L17" s="130">
        <f>'Tabulasi Kerugian Ekonomi'!Y57</f>
        <v>8.0288865266911316</v>
      </c>
      <c r="M17" s="122">
        <f>'Tabulasi Kerugian Ekonomi'!Y76</f>
        <v>14.791540081347028</v>
      </c>
      <c r="N17" s="131">
        <f>'Tabulasi Kerugian Ekonomi'!Y77</f>
        <v>9.271990933968425</v>
      </c>
      <c r="O17" s="122">
        <f>'Tabulasi Kerugian Ekonomi'!Y96</f>
        <v>6.6074845652431859</v>
      </c>
      <c r="P17" s="131">
        <f>'Tabulasi Kerugian Ekonomi'!Y97</f>
        <v>6.6345403906605087</v>
      </c>
    </row>
    <row r="18" spans="1:16">
      <c r="A18" s="185"/>
      <c r="B18" s="199"/>
      <c r="C18" s="186" t="s">
        <v>335</v>
      </c>
      <c r="D18" s="227" t="s">
        <v>334</v>
      </c>
      <c r="E18" s="119" t="s">
        <v>321</v>
      </c>
      <c r="F18" s="119"/>
      <c r="G18" s="173">
        <f>'Tabulasi Kerugian Ekonomi'!J16</f>
        <v>154500</v>
      </c>
      <c r="H18" s="128">
        <f>'Tabulasi Kerugian Ekonomi'!J17</f>
        <v>73841.045496390419</v>
      </c>
      <c r="I18" s="173">
        <f>'Tabulasi Kerugian Ekonomi'!J36</f>
        <v>293000</v>
      </c>
      <c r="J18" s="129">
        <f>'Tabulasi Kerugian Ekonomi'!J37</f>
        <v>199223.4925906079</v>
      </c>
      <c r="K18" s="173">
        <f>'Tabulasi Kerugian Ekonomi'!J56</f>
        <v>568000</v>
      </c>
      <c r="L18" s="130">
        <f>'Tabulasi Kerugian Ekonomi'!J57</f>
        <v>121545.60186750212</v>
      </c>
      <c r="M18" s="122">
        <f>'Tabulasi Kerugian Ekonomi'!J76</f>
        <v>1466000</v>
      </c>
      <c r="N18" s="131">
        <f>'Tabulasi Kerugian Ekonomi'!J77</f>
        <v>323047.98405190522</v>
      </c>
      <c r="O18" s="122">
        <f>'Tabulasi Kerugian Ekonomi'!J96</f>
        <v>5070000</v>
      </c>
      <c r="P18" s="122">
        <f>'Tabulasi Kerugian Ekonomi'!J97</f>
        <v>603784.36180109496</v>
      </c>
    </row>
    <row r="19" spans="1:16">
      <c r="A19" s="185"/>
      <c r="B19" s="199"/>
      <c r="C19" s="186"/>
      <c r="D19" s="227"/>
      <c r="E19" s="119" t="s">
        <v>322</v>
      </c>
      <c r="F19" s="119"/>
      <c r="G19" s="173">
        <f>'Tabulasi Kerugian Ekonomi'!P16</f>
        <v>259500</v>
      </c>
      <c r="H19" s="128">
        <f>'Tabulasi Kerugian Ekonomi'!P17</f>
        <v>142369.82358163779</v>
      </c>
      <c r="I19" s="173">
        <f>'Tabulasi Kerugian Ekonomi'!P36</f>
        <v>368000</v>
      </c>
      <c r="J19" s="129">
        <f>'Tabulasi Kerugian Ekonomi'!P37</f>
        <v>223398.00058788946</v>
      </c>
      <c r="K19" s="173">
        <f>'Tabulasi Kerugian Ekonomi'!P56</f>
        <v>662000</v>
      </c>
      <c r="L19" s="130">
        <f>'Tabulasi Kerugian Ekonomi'!P57</f>
        <v>109321.13753117972</v>
      </c>
      <c r="M19" s="122">
        <f>'Tabulasi Kerugian Ekonomi'!P76</f>
        <v>1720000</v>
      </c>
      <c r="N19" s="131">
        <f>'Tabulasi Kerugian Ekonomi'!P77</f>
        <v>329309.04093942582</v>
      </c>
      <c r="O19" s="122">
        <f>'Tabulasi Kerugian Ekonomi'!P96</f>
        <v>5550000</v>
      </c>
      <c r="P19" s="122">
        <f>'Tabulasi Kerugian Ekonomi'!P97</f>
        <v>663743.59172466258</v>
      </c>
    </row>
    <row r="20" spans="1:16" s="118" customFormat="1">
      <c r="A20" s="185"/>
      <c r="B20" s="199"/>
      <c r="C20" s="186"/>
      <c r="D20" s="116" t="s">
        <v>319</v>
      </c>
      <c r="E20" s="60" t="s">
        <v>333</v>
      </c>
      <c r="F20" s="60"/>
      <c r="G20" s="173">
        <f>'Tabulasi Kerugian Ekonomi'!Z16</f>
        <v>37.619648869648863</v>
      </c>
      <c r="H20" s="128">
        <f>'Tabulasi Kerugian Ekonomi'!Z17</f>
        <v>14.420820107759589</v>
      </c>
      <c r="I20" s="173">
        <f>'Tabulasi Kerugian Ekonomi'!Z36</f>
        <v>29.694444444444439</v>
      </c>
      <c r="J20" s="129">
        <f>'Tabulasi Kerugian Ekonomi'!Z37</f>
        <v>19.499526506344029</v>
      </c>
      <c r="K20" s="173">
        <f>'Tabulasi Kerugian Ekonomi'!Z56</f>
        <v>17.776947230505105</v>
      </c>
      <c r="L20" s="130">
        <f>'Tabulasi Kerugian Ekonomi'!Z57</f>
        <v>9.6987982047555832</v>
      </c>
      <c r="M20" s="122">
        <f>'Tabulasi Kerugian Ekonomi'!Z76</f>
        <v>18.41541531699686</v>
      </c>
      <c r="N20" s="131">
        <f>'Tabulasi Kerugian Ekonomi'!Z77</f>
        <v>9.9548343751184962</v>
      </c>
      <c r="O20" s="122">
        <f>'Tabulasi Kerugian Ekonomi'!Z96</f>
        <v>9.5911047958742088</v>
      </c>
      <c r="P20" s="131">
        <f>'Tabulasi Kerugian Ekonomi'!Z97</f>
        <v>6.2463124946409332</v>
      </c>
    </row>
    <row r="21" spans="1:16" s="118" customFormat="1">
      <c r="A21" s="185" t="s">
        <v>23</v>
      </c>
      <c r="B21" s="186" t="s">
        <v>336</v>
      </c>
      <c r="C21" s="186" t="s">
        <v>337</v>
      </c>
      <c r="D21" s="116"/>
      <c r="E21" s="60" t="s">
        <v>338</v>
      </c>
      <c r="F21" s="60"/>
      <c r="G21" s="117">
        <f>'Tabulasi Kerugian Ekonomi'!AD16</f>
        <v>0.4333333333333334</v>
      </c>
      <c r="H21" s="117">
        <f>'Tabulasi Kerugian Ekonomi'!AD17</f>
        <v>8.606629658238675E-2</v>
      </c>
      <c r="I21" s="128">
        <f>'Tabulasi Kerugian Ekonomi'!AD36</f>
        <v>0.30666666666666664</v>
      </c>
      <c r="J21" s="129">
        <f>'Tabulasi Kerugian Ekonomi'!AD37</f>
        <v>0.11144394593884295</v>
      </c>
      <c r="K21" s="173">
        <f>'Tabulasi Kerugian Ekonomi'!AD56</f>
        <v>0.57833333333333337</v>
      </c>
      <c r="L21" s="154">
        <f>'Tabulasi Kerugian Ekonomi'!AD57</f>
        <v>0.31071899893037802</v>
      </c>
      <c r="M21" s="131">
        <f>'Tabulasi Kerugian Ekonomi'!AD76</f>
        <v>0.24333333333333332</v>
      </c>
      <c r="N21" s="131">
        <f>'Tabulasi Kerugian Ekonomi'!AD77</f>
        <v>5.5666555777223958E-2</v>
      </c>
      <c r="O21" s="131">
        <f>'Tabulasi Kerugian Ekonomi'!AD96</f>
        <v>0.16440476190476191</v>
      </c>
      <c r="P21" s="131">
        <f>'Tabulasi Kerugian Ekonomi'!AD97</f>
        <v>2.3666568192017276E-2</v>
      </c>
    </row>
    <row r="22" spans="1:16">
      <c r="A22" s="185"/>
      <c r="B22" s="186"/>
      <c r="C22" s="186"/>
      <c r="D22" s="224" t="s">
        <v>319</v>
      </c>
      <c r="E22" s="119" t="s">
        <v>336</v>
      </c>
      <c r="F22" s="119" t="s">
        <v>351</v>
      </c>
      <c r="G22" s="117">
        <f>'Tabulasi Kerugian Ekonomi'!AG18</f>
        <v>100</v>
      </c>
      <c r="H22" s="133">
        <v>0</v>
      </c>
      <c r="I22" s="128">
        <f>'Tabulasi Kerugian Ekonomi'!AG38</f>
        <v>100</v>
      </c>
      <c r="J22" s="144">
        <v>0</v>
      </c>
      <c r="K22" s="128">
        <f>'Tabulasi Kerugian Ekonomi'!AG58</f>
        <v>100</v>
      </c>
      <c r="L22" s="155">
        <v>0</v>
      </c>
      <c r="M22" s="131">
        <f>'Tabulasi Kerugian Ekonomi'!AG78</f>
        <v>100</v>
      </c>
      <c r="N22" s="161">
        <v>0</v>
      </c>
      <c r="O22" s="93">
        <f>'Tabulasi Kerugian Ekonomi'!AG98</f>
        <v>100</v>
      </c>
      <c r="P22" s="165">
        <v>0</v>
      </c>
    </row>
    <row r="23" spans="1:16">
      <c r="A23" s="185"/>
      <c r="B23" s="186"/>
      <c r="C23" s="186"/>
      <c r="D23" s="231"/>
      <c r="E23" s="232" t="s">
        <v>184</v>
      </c>
      <c r="F23" s="119" t="s">
        <v>275</v>
      </c>
      <c r="G23" s="133">
        <f>'Tabulasi Kerugian Ekonomi'!AH18</f>
        <v>10</v>
      </c>
      <c r="H23" s="133">
        <v>0</v>
      </c>
      <c r="I23" s="128">
        <f>'Tabulasi Kerugian Ekonomi'!AH38</f>
        <v>30</v>
      </c>
      <c r="J23" s="144">
        <v>0</v>
      </c>
      <c r="K23" s="138">
        <f>'Tabulasi Kerugian Ekonomi'!AH58</f>
        <v>0</v>
      </c>
      <c r="L23" s="155">
        <v>0</v>
      </c>
      <c r="M23" s="131">
        <f>'Tabulasi Kerugian Ekonomi'!AH78</f>
        <v>10</v>
      </c>
      <c r="N23" s="161">
        <v>0</v>
      </c>
      <c r="O23" s="165">
        <f>'Tabulasi Kerugian Ekonomi'!AH98</f>
        <v>0</v>
      </c>
      <c r="P23" s="165">
        <v>0</v>
      </c>
    </row>
    <row r="24" spans="1:16">
      <c r="A24" s="185"/>
      <c r="B24" s="186"/>
      <c r="C24" s="186"/>
      <c r="D24" s="231"/>
      <c r="E24" s="233"/>
      <c r="F24" s="119" t="s">
        <v>276</v>
      </c>
      <c r="G24" s="133">
        <f>'Tabulasi Kerugian Ekonomi'!AH19</f>
        <v>10</v>
      </c>
      <c r="H24" s="133">
        <v>0</v>
      </c>
      <c r="I24" s="138">
        <f>'Tabulasi Kerugian Ekonomi'!AH39</f>
        <v>0</v>
      </c>
      <c r="J24" s="144">
        <v>0</v>
      </c>
      <c r="K24" s="138">
        <f>'Tabulasi Kerugian Ekonomi'!AH59</f>
        <v>0</v>
      </c>
      <c r="L24" s="155">
        <v>0</v>
      </c>
      <c r="M24" s="161">
        <f>'Tabulasi Kerugian Ekonomi'!AH79</f>
        <v>0</v>
      </c>
      <c r="N24" s="161">
        <v>0</v>
      </c>
      <c r="O24" s="165">
        <f>'Tabulasi Kerugian Ekonomi'!AH99</f>
        <v>0</v>
      </c>
      <c r="P24" s="165">
        <v>0</v>
      </c>
    </row>
    <row r="25" spans="1:16">
      <c r="A25" s="185"/>
      <c r="B25" s="186"/>
      <c r="C25" s="186"/>
      <c r="D25" s="231"/>
      <c r="E25" s="233"/>
      <c r="F25" s="119" t="s">
        <v>277</v>
      </c>
      <c r="G25" s="133">
        <f>'Tabulasi Kerugian Ekonomi'!AH20</f>
        <v>0</v>
      </c>
      <c r="H25" s="133">
        <v>0</v>
      </c>
      <c r="I25" s="138">
        <f>'Tabulasi Kerugian Ekonomi'!AH40</f>
        <v>0</v>
      </c>
      <c r="J25" s="144">
        <v>0</v>
      </c>
      <c r="K25" s="138">
        <f>'Tabulasi Kerugian Ekonomi'!AH60</f>
        <v>0</v>
      </c>
      <c r="L25" s="155">
        <v>0</v>
      </c>
      <c r="M25" s="161">
        <f>'Tabulasi Kerugian Ekonomi'!AH80</f>
        <v>0</v>
      </c>
      <c r="N25" s="161">
        <v>0</v>
      </c>
      <c r="O25" s="165">
        <f>'Tabulasi Kerugian Ekonomi'!AH100</f>
        <v>0</v>
      </c>
      <c r="P25" s="165">
        <v>0</v>
      </c>
    </row>
    <row r="26" spans="1:16" ht="28">
      <c r="A26" s="185"/>
      <c r="B26" s="186"/>
      <c r="C26" s="186"/>
      <c r="D26" s="231"/>
      <c r="E26" s="233"/>
      <c r="F26" s="121" t="s">
        <v>278</v>
      </c>
      <c r="G26" s="117">
        <f>'Tabulasi Kerugian Ekonomi'!AH21</f>
        <v>50</v>
      </c>
      <c r="H26" s="136">
        <v>0</v>
      </c>
      <c r="I26" s="128">
        <f>'Tabulasi Kerugian Ekonomi'!AH41</f>
        <v>30</v>
      </c>
      <c r="J26" s="144">
        <v>0</v>
      </c>
      <c r="K26" s="128">
        <f>'Tabulasi Kerugian Ekonomi'!AH61</f>
        <v>50</v>
      </c>
      <c r="L26" s="155">
        <v>0</v>
      </c>
      <c r="M26" s="139">
        <f>'Tabulasi Kerugian Ekonomi'!AH81</f>
        <v>20</v>
      </c>
      <c r="N26" s="162">
        <v>0</v>
      </c>
      <c r="O26" s="115">
        <f>'Tabulasi Kerugian Ekonomi'!AH101</f>
        <v>50</v>
      </c>
      <c r="P26" s="166">
        <v>0</v>
      </c>
    </row>
    <row r="27" spans="1:16">
      <c r="A27" s="185"/>
      <c r="B27" s="186"/>
      <c r="C27" s="186"/>
      <c r="D27" s="231"/>
      <c r="E27" s="233"/>
      <c r="F27" s="121" t="s">
        <v>354</v>
      </c>
      <c r="G27" s="117">
        <f>'Tabulasi Kerugian Ekonomi'!AH22</f>
        <v>30</v>
      </c>
      <c r="H27" s="136">
        <v>0</v>
      </c>
      <c r="I27" s="128">
        <f>'Tabulasi Kerugian Ekonomi'!AH42</f>
        <v>30</v>
      </c>
      <c r="J27" s="144">
        <v>0</v>
      </c>
      <c r="K27" s="128">
        <f>'Tabulasi Kerugian Ekonomi'!AH62</f>
        <v>20</v>
      </c>
      <c r="L27" s="155">
        <v>0</v>
      </c>
      <c r="M27" s="131">
        <f>'Tabulasi Kerugian Ekonomi'!AH82</f>
        <v>50</v>
      </c>
      <c r="N27" s="161">
        <v>0</v>
      </c>
      <c r="O27" s="93">
        <f>'Tabulasi Kerugian Ekonomi'!AH102</f>
        <v>20</v>
      </c>
      <c r="P27" s="165">
        <v>0</v>
      </c>
    </row>
    <row r="28" spans="1:16" ht="28">
      <c r="A28" s="185"/>
      <c r="B28" s="186"/>
      <c r="C28" s="186"/>
      <c r="D28" s="225"/>
      <c r="E28" s="234"/>
      <c r="F28" s="121" t="s">
        <v>280</v>
      </c>
      <c r="G28" s="133">
        <f>'Tabulasi Kerugian Ekonomi'!AH23</f>
        <v>0</v>
      </c>
      <c r="H28" s="136">
        <v>0</v>
      </c>
      <c r="I28" s="128">
        <f>'Tabulasi Kerugian Ekonomi'!AH43</f>
        <v>10</v>
      </c>
      <c r="J28" s="144">
        <v>0</v>
      </c>
      <c r="K28" s="128">
        <f>'Tabulasi Kerugian Ekonomi'!AH63</f>
        <v>30</v>
      </c>
      <c r="L28" s="155">
        <v>0</v>
      </c>
      <c r="M28" s="131">
        <f>'Tabulasi Kerugian Ekonomi'!AH83</f>
        <v>20</v>
      </c>
      <c r="N28" s="161">
        <v>0</v>
      </c>
      <c r="O28" s="115">
        <f>'Tabulasi Kerugian Ekonomi'!AH103</f>
        <v>30</v>
      </c>
      <c r="P28" s="166">
        <v>0</v>
      </c>
    </row>
    <row r="29" spans="1:16">
      <c r="A29" s="185"/>
      <c r="B29" s="186"/>
      <c r="C29" s="186"/>
      <c r="D29" s="120" t="s">
        <v>334</v>
      </c>
      <c r="E29" s="119" t="s">
        <v>339</v>
      </c>
      <c r="F29" s="119"/>
      <c r="G29" s="128">
        <f>'Tabulasi Kerugian Ekonomi'!AF16</f>
        <v>25999.999999999996</v>
      </c>
      <c r="H29" s="128">
        <f>'Tabulasi Kerugian Ekonomi'!AF17</f>
        <v>23402.0153189347</v>
      </c>
      <c r="I29" s="139">
        <f>'Tabulasi Kerugian Ekonomi'!AF36</f>
        <v>92416.666666666657</v>
      </c>
      <c r="J29" s="145">
        <f>'Tabulasi Kerugian Ekonomi'!AF37</f>
        <v>153559.841755584</v>
      </c>
      <c r="K29" s="128">
        <f>'Tabulasi Kerugian Ekonomi'!AF56</f>
        <v>61208.333333333328</v>
      </c>
      <c r="L29" s="154">
        <f>'Tabulasi Kerugian Ekonomi'!AF57</f>
        <v>44407.297844519358</v>
      </c>
      <c r="M29" s="131">
        <f>'Tabulasi Kerugian Ekonomi'!AF76</f>
        <v>241433.33333333334</v>
      </c>
      <c r="N29" s="131">
        <f>'Tabulasi Kerugian Ekonomi'!AF77</f>
        <v>99723.946131802979</v>
      </c>
      <c r="O29" s="93">
        <f>'Tabulasi Kerugian Ekonomi'!AF96</f>
        <v>357666.66666666663</v>
      </c>
      <c r="P29" s="93">
        <f>'Tabulasi Kerugian Ekonomi'!AF97</f>
        <v>68438.086844348625</v>
      </c>
    </row>
    <row r="30" spans="1:16" s="118" customFormat="1">
      <c r="A30" s="185"/>
      <c r="B30" s="186"/>
      <c r="C30" s="186" t="s">
        <v>340</v>
      </c>
      <c r="D30" s="116"/>
      <c r="E30" s="60" t="s">
        <v>338</v>
      </c>
      <c r="F30" s="60"/>
      <c r="G30" s="117">
        <f>'Tabulasi Kerugian Ekonomi'!AL16</f>
        <v>0.16904761904761903</v>
      </c>
      <c r="H30" s="117">
        <f>'Tabulasi Kerugian Ekonomi'!AL17</f>
        <v>2.3489918391982261E-2</v>
      </c>
      <c r="I30" s="140">
        <f>'Tabulasi Kerugian Ekonomi'!AL36</f>
        <v>0.42499999999999999</v>
      </c>
      <c r="J30" s="146">
        <f>'Tabulasi Kerugian Ekonomi'!AL37</f>
        <v>9.9768249978155407E-2</v>
      </c>
      <c r="K30" s="152">
        <f>'Tabulasi Kerugian Ekonomi'!AL56</f>
        <v>0.6166666666666667</v>
      </c>
      <c r="L30" s="156">
        <f>'Tabulasi Kerugian Ekonomi'!AL57</f>
        <v>0.27273194908074594</v>
      </c>
      <c r="M30" s="131">
        <f>'Tabulasi Kerugian Ekonomi'!AL76</f>
        <v>0.17773809523809522</v>
      </c>
      <c r="N30" s="131">
        <f>'Tabulasi Kerugian Ekonomi'!AL77</f>
        <v>3.0387861830613299E-2</v>
      </c>
      <c r="O30" s="131">
        <f>'Tabulasi Kerugian Ekonomi'!AL96</f>
        <v>0.15547619047619046</v>
      </c>
      <c r="P30" s="131">
        <f>'Tabulasi Kerugian Ekonomi'!AL97</f>
        <v>2.7304355710507922E-2</v>
      </c>
    </row>
    <row r="31" spans="1:16">
      <c r="A31" s="185"/>
      <c r="B31" s="186"/>
      <c r="C31" s="186"/>
      <c r="D31" s="224" t="s">
        <v>319</v>
      </c>
      <c r="E31" s="119" t="s">
        <v>336</v>
      </c>
      <c r="F31" s="119" t="s">
        <v>210</v>
      </c>
      <c r="G31" s="133">
        <f>'Tabulasi Kerugian Ekonomi'!AO18</f>
        <v>100</v>
      </c>
      <c r="H31" s="133">
        <v>0</v>
      </c>
      <c r="I31" s="54">
        <f>'Tabulasi Kerugian Ekonomi'!AO38</f>
        <v>100</v>
      </c>
      <c r="J31" s="147">
        <v>0</v>
      </c>
      <c r="K31" s="152">
        <f>'Tabulasi Kerugian Ekonomi'!AO58</f>
        <v>100</v>
      </c>
      <c r="L31" s="157">
        <v>0</v>
      </c>
      <c r="M31" s="131">
        <f>'Tabulasi Kerugian Ekonomi'!AO78</f>
        <v>100</v>
      </c>
      <c r="N31" s="161">
        <v>0</v>
      </c>
      <c r="O31" s="93">
        <f>'Tabulasi Kerugian Ekonomi'!AO98</f>
        <v>100</v>
      </c>
      <c r="P31" s="165">
        <v>0</v>
      </c>
    </row>
    <row r="32" spans="1:16" ht="20" customHeight="1">
      <c r="A32" s="185"/>
      <c r="B32" s="186"/>
      <c r="C32" s="186"/>
      <c r="D32" s="231"/>
      <c r="E32" s="232" t="s">
        <v>355</v>
      </c>
      <c r="F32" s="119" t="s">
        <v>275</v>
      </c>
      <c r="G32" s="133">
        <f>'Tabulasi Kerugian Ekonomi'!AP18</f>
        <v>100</v>
      </c>
      <c r="H32" s="133">
        <v>0</v>
      </c>
      <c r="I32" s="54">
        <f>'Tabulasi Kerugian Ekonomi'!AP38</f>
        <v>60</v>
      </c>
      <c r="J32" s="147">
        <v>0</v>
      </c>
      <c r="K32" s="152">
        <f>'Tabulasi Kerugian Ekonomi'!AP58</f>
        <v>70</v>
      </c>
      <c r="L32" s="157">
        <v>0</v>
      </c>
      <c r="M32" s="131">
        <f>'Tabulasi Kerugian Ekonomi'!AP78</f>
        <v>50</v>
      </c>
      <c r="N32" s="161">
        <v>0</v>
      </c>
      <c r="O32" s="93">
        <f>'Tabulasi Kerugian Ekonomi'!AP98</f>
        <v>60</v>
      </c>
      <c r="P32" s="165">
        <v>0</v>
      </c>
    </row>
    <row r="33" spans="1:16" ht="20" customHeight="1">
      <c r="A33" s="185"/>
      <c r="B33" s="186"/>
      <c r="C33" s="186"/>
      <c r="D33" s="231"/>
      <c r="E33" s="233"/>
      <c r="F33" s="119" t="s">
        <v>276</v>
      </c>
      <c r="G33" s="133">
        <f>'Tabulasi Kerugian Ekonomi'!AP19</f>
        <v>0</v>
      </c>
      <c r="H33" s="133">
        <v>0</v>
      </c>
      <c r="I33" s="54">
        <f>'Tabulasi Kerugian Ekonomi'!AP39</f>
        <v>40</v>
      </c>
      <c r="J33" s="147">
        <v>0</v>
      </c>
      <c r="K33" s="152">
        <f>'Tabulasi Kerugian Ekonomi'!AP59</f>
        <v>30</v>
      </c>
      <c r="L33" s="157">
        <v>0</v>
      </c>
      <c r="M33" s="131">
        <f>'Tabulasi Kerugian Ekonomi'!AP79</f>
        <v>20</v>
      </c>
      <c r="N33" s="161">
        <v>0</v>
      </c>
      <c r="O33" s="165">
        <f>'Tabulasi Kerugian Ekonomi'!AP99</f>
        <v>0</v>
      </c>
      <c r="P33" s="165">
        <v>0</v>
      </c>
    </row>
    <row r="34" spans="1:16" ht="17.5" customHeight="1">
      <c r="A34" s="185"/>
      <c r="B34" s="186"/>
      <c r="C34" s="186"/>
      <c r="D34" s="231"/>
      <c r="E34" s="233"/>
      <c r="F34" s="119" t="s">
        <v>277</v>
      </c>
      <c r="G34" s="133">
        <f>'Tabulasi Kerugian Ekonomi'!AP20</f>
        <v>0</v>
      </c>
      <c r="H34" s="133">
        <v>0</v>
      </c>
      <c r="I34" s="54">
        <f>'Tabulasi Kerugian Ekonomi'!AP40</f>
        <v>0</v>
      </c>
      <c r="J34" s="147">
        <v>0</v>
      </c>
      <c r="K34" s="138">
        <f>'Tabulasi Kerugian Ekonomi'!AP60</f>
        <v>0</v>
      </c>
      <c r="L34" s="157">
        <v>0</v>
      </c>
      <c r="M34" s="131">
        <f>'Tabulasi Kerugian Ekonomi'!AP80</f>
        <v>30</v>
      </c>
      <c r="N34" s="161">
        <v>0</v>
      </c>
      <c r="O34" s="93">
        <f>'Tabulasi Kerugian Ekonomi'!AP100</f>
        <v>40</v>
      </c>
      <c r="P34" s="165">
        <v>0</v>
      </c>
    </row>
    <row r="35" spans="1:16" ht="28">
      <c r="A35" s="185"/>
      <c r="B35" s="186"/>
      <c r="C35" s="186"/>
      <c r="D35" s="231"/>
      <c r="E35" s="233"/>
      <c r="F35" s="121" t="s">
        <v>278</v>
      </c>
      <c r="G35" s="133">
        <f>'Tabulasi Kerugian Ekonomi'!AP21</f>
        <v>0</v>
      </c>
      <c r="H35" s="133">
        <v>0</v>
      </c>
      <c r="I35" s="54">
        <f>'Tabulasi Kerugian Ekonomi'!AP41</f>
        <v>0</v>
      </c>
      <c r="J35" s="147">
        <v>0</v>
      </c>
      <c r="K35" s="138">
        <f>'Tabulasi Kerugian Ekonomi'!AP61</f>
        <v>0</v>
      </c>
      <c r="L35" s="157">
        <v>0</v>
      </c>
      <c r="M35" s="161">
        <f>'Tabulasi Kerugian Ekonomi'!AP81</f>
        <v>0</v>
      </c>
      <c r="N35" s="161">
        <v>0</v>
      </c>
      <c r="O35" s="165">
        <f>'Tabulasi Kerugian Ekonomi'!AP101</f>
        <v>0</v>
      </c>
      <c r="P35" s="165">
        <v>0</v>
      </c>
    </row>
    <row r="36" spans="1:16">
      <c r="A36" s="185"/>
      <c r="B36" s="186"/>
      <c r="C36" s="186"/>
      <c r="D36" s="231"/>
      <c r="E36" s="233"/>
      <c r="F36" s="121" t="s">
        <v>354</v>
      </c>
      <c r="G36" s="133">
        <f>'Tabulasi Kerugian Ekonomi'!AP22</f>
        <v>0</v>
      </c>
      <c r="H36" s="133">
        <v>0</v>
      </c>
      <c r="I36" s="54">
        <f>'Tabulasi Kerugian Ekonomi'!AP42</f>
        <v>0</v>
      </c>
      <c r="J36" s="147">
        <v>0</v>
      </c>
      <c r="K36" s="138">
        <f>'Tabulasi Kerugian Ekonomi'!AP62</f>
        <v>0</v>
      </c>
      <c r="L36" s="157">
        <v>0</v>
      </c>
      <c r="M36" s="161">
        <f>'Tabulasi Kerugian Ekonomi'!AP82</f>
        <v>0</v>
      </c>
      <c r="N36" s="161">
        <v>0</v>
      </c>
      <c r="O36" s="165">
        <f>'Tabulasi Kerugian Ekonomi'!AP102</f>
        <v>0</v>
      </c>
      <c r="P36" s="165">
        <v>0</v>
      </c>
    </row>
    <row r="37" spans="1:16" ht="28">
      <c r="A37" s="185"/>
      <c r="B37" s="186"/>
      <c r="C37" s="186"/>
      <c r="D37" s="225"/>
      <c r="E37" s="234"/>
      <c r="F37" s="121" t="s">
        <v>280</v>
      </c>
      <c r="G37" s="133">
        <f>'Tabulasi Kerugian Ekonomi'!AP23</f>
        <v>0</v>
      </c>
      <c r="H37" s="133">
        <v>0</v>
      </c>
      <c r="I37" s="54">
        <f>'Tabulasi Kerugian Ekonomi'!AP43</f>
        <v>0</v>
      </c>
      <c r="J37" s="147">
        <v>0</v>
      </c>
      <c r="K37" s="138">
        <f>'Tabulasi Kerugian Ekonomi'!AP63</f>
        <v>0</v>
      </c>
      <c r="L37" s="157">
        <v>0</v>
      </c>
      <c r="M37" s="161">
        <f>'Tabulasi Kerugian Ekonomi'!AP83</f>
        <v>0</v>
      </c>
      <c r="N37" s="161">
        <v>0</v>
      </c>
      <c r="O37" s="165">
        <f>'Tabulasi Kerugian Ekonomi'!AP103</f>
        <v>0</v>
      </c>
      <c r="P37" s="165">
        <v>0</v>
      </c>
    </row>
    <row r="38" spans="1:16">
      <c r="A38" s="185"/>
      <c r="B38" s="186"/>
      <c r="C38" s="186"/>
      <c r="D38" s="120" t="s">
        <v>334</v>
      </c>
      <c r="E38" s="119" t="s">
        <v>339</v>
      </c>
      <c r="F38" s="119"/>
      <c r="G38" s="128">
        <f>'Tabulasi Kerugian Ekonomi'!AN16</f>
        <v>17011.904761904763</v>
      </c>
      <c r="H38" s="128">
        <f>'Tabulasi Kerugian Ekonomi'!AN17</f>
        <v>1399.3708768928971</v>
      </c>
      <c r="I38" s="128">
        <f>'Tabulasi Kerugian Ekonomi'!AN36</f>
        <v>329583.33333333331</v>
      </c>
      <c r="J38" s="129">
        <f>'Tabulasi Kerugian Ekonomi'!AN37</f>
        <v>435005.89785983315</v>
      </c>
      <c r="K38" s="152">
        <f>'Tabulasi Kerugian Ekonomi'!AN56</f>
        <v>439166.66666666669</v>
      </c>
      <c r="L38" s="156">
        <f>'Tabulasi Kerugian Ekonomi'!AN57</f>
        <v>206381.59849543471</v>
      </c>
      <c r="M38" s="131">
        <f>'Tabulasi Kerugian Ekonomi'!AN76</f>
        <v>152016.66666666666</v>
      </c>
      <c r="N38" s="131">
        <f>'Tabulasi Kerugian Ekonomi'!AN77</f>
        <v>47673.505963206509</v>
      </c>
      <c r="O38" s="93">
        <f>'Tabulasi Kerugian Ekonomi'!AN96</f>
        <v>685083.33333333326</v>
      </c>
      <c r="P38" s="93">
        <f>'Tabulasi Kerugian Ekonomi'!AN97</f>
        <v>175913.58954439685</v>
      </c>
    </row>
    <row r="39" spans="1:16" s="118" customFormat="1">
      <c r="A39" s="185"/>
      <c r="B39" s="186"/>
      <c r="C39" s="186" t="s">
        <v>341</v>
      </c>
      <c r="D39" s="116"/>
      <c r="E39" s="60" t="s">
        <v>338</v>
      </c>
      <c r="F39" s="60"/>
      <c r="G39" s="117">
        <f>'Tabulasi Kerugian Ekonomi'!AT16</f>
        <v>0.4416666666666666</v>
      </c>
      <c r="H39" s="117">
        <f>'Tabulasi Kerugian Ekonomi'!AT17</f>
        <v>9.6625150727367548E-2</v>
      </c>
      <c r="I39" s="141">
        <f>'Tabulasi Kerugian Ekonomi'!AT36</f>
        <v>0.375</v>
      </c>
      <c r="J39" s="148">
        <f>'Tabulasi Kerugian Ekonomi'!AT37</f>
        <v>0.11283386673105508</v>
      </c>
      <c r="K39" s="128">
        <f>'Tabulasi Kerugian Ekonomi'!AT56</f>
        <v>0.56666666666666665</v>
      </c>
      <c r="L39" s="130">
        <f>'Tabulasi Kerugian Ekonomi'!AT57</f>
        <v>0.23830678432808017</v>
      </c>
      <c r="M39" s="131">
        <f>'Tabulasi Kerugian Ekonomi'!AT76</f>
        <v>0.17523809523809525</v>
      </c>
      <c r="N39" s="131">
        <f>'Tabulasi Kerugian Ekonomi'!AT77</f>
        <v>2.3198509087549415E-2</v>
      </c>
      <c r="O39" s="131">
        <f>'Tabulasi Kerugian Ekonomi'!AT96</f>
        <v>0.17761904761904762</v>
      </c>
      <c r="P39" s="131">
        <f>'Tabulasi Kerugian Ekonomi'!AT97</f>
        <v>2.057990223284201E-2</v>
      </c>
    </row>
    <row r="40" spans="1:16">
      <c r="A40" s="185"/>
      <c r="B40" s="186"/>
      <c r="C40" s="186"/>
      <c r="D40" s="224" t="s">
        <v>319</v>
      </c>
      <c r="E40" s="119" t="s">
        <v>336</v>
      </c>
      <c r="F40" s="119" t="s">
        <v>213</v>
      </c>
      <c r="G40" s="134">
        <f>'Tabulasi Kerugian Ekonomi'!AX18</f>
        <v>100</v>
      </c>
      <c r="H40" s="133">
        <v>0</v>
      </c>
      <c r="I40" s="141">
        <f>'Tabulasi Kerugian Ekonomi'!AX38</f>
        <v>100</v>
      </c>
      <c r="J40" s="149">
        <v>0</v>
      </c>
      <c r="K40" s="128">
        <f>'Tabulasi Kerugian Ekonomi'!AX58</f>
        <v>100</v>
      </c>
      <c r="L40" s="158">
        <v>0</v>
      </c>
      <c r="M40" s="131">
        <f>'Tabulasi Kerugian Ekonomi'!AX78</f>
        <v>100</v>
      </c>
      <c r="N40" s="161">
        <v>0</v>
      </c>
      <c r="O40" s="93">
        <f>'Tabulasi Kerugian Ekonomi'!AX98</f>
        <v>100</v>
      </c>
      <c r="P40" s="165">
        <v>0</v>
      </c>
    </row>
    <row r="41" spans="1:16" ht="28">
      <c r="A41" s="185"/>
      <c r="B41" s="186"/>
      <c r="C41" s="186"/>
      <c r="D41" s="231"/>
      <c r="E41" s="168" t="s">
        <v>358</v>
      </c>
      <c r="F41" s="119" t="s">
        <v>359</v>
      </c>
      <c r="G41" s="134">
        <f>'Tabulasi Kerugian Ekonomi'!AU18</f>
        <v>100</v>
      </c>
      <c r="H41" s="133">
        <v>0</v>
      </c>
      <c r="I41" s="141">
        <f>'Tabulasi Kerugian Ekonomi'!AU38</f>
        <v>100</v>
      </c>
      <c r="J41" s="149">
        <v>0</v>
      </c>
      <c r="K41" s="128">
        <f>'Tabulasi Kerugian Ekonomi'!AU58</f>
        <v>100</v>
      </c>
      <c r="L41" s="155">
        <v>0</v>
      </c>
      <c r="M41" s="139">
        <f>'Tabulasi Kerugian Ekonomi'!AU78</f>
        <v>100</v>
      </c>
      <c r="N41" s="162">
        <v>0</v>
      </c>
      <c r="O41" s="115">
        <f>'Tabulasi Kerugian Ekonomi'!AX98</f>
        <v>100</v>
      </c>
      <c r="P41" s="166">
        <v>0</v>
      </c>
    </row>
    <row r="42" spans="1:16">
      <c r="A42" s="185"/>
      <c r="B42" s="186"/>
      <c r="C42" s="186"/>
      <c r="D42" s="231"/>
      <c r="E42" s="224" t="s">
        <v>184</v>
      </c>
      <c r="F42" s="119" t="s">
        <v>275</v>
      </c>
      <c r="G42" s="134">
        <f>'Tabulasi Kerugian Ekonomi'!AY18</f>
        <v>20</v>
      </c>
      <c r="H42" s="133">
        <v>0</v>
      </c>
      <c r="I42" s="141">
        <f>'Tabulasi Kerugian Ekonomi'!AY38</f>
        <v>10</v>
      </c>
      <c r="J42" s="149">
        <v>0</v>
      </c>
      <c r="K42" s="138">
        <f>'Tabulasi Kerugian Ekonomi'!AY58</f>
        <v>0</v>
      </c>
      <c r="L42" s="158">
        <v>0</v>
      </c>
      <c r="M42" s="161">
        <f>'Tabulasi Kerugian Ekonomi'!AY78</f>
        <v>0</v>
      </c>
      <c r="N42" s="161">
        <v>0</v>
      </c>
      <c r="O42" s="165">
        <f>'Tabulasi Kerugian Ekonomi'!AY98</f>
        <v>0</v>
      </c>
      <c r="P42" s="165">
        <v>0</v>
      </c>
    </row>
    <row r="43" spans="1:16">
      <c r="A43" s="185"/>
      <c r="B43" s="186"/>
      <c r="C43" s="186"/>
      <c r="D43" s="231"/>
      <c r="E43" s="231"/>
      <c r="F43" s="119" t="s">
        <v>276</v>
      </c>
      <c r="G43" s="134">
        <f>'Tabulasi Kerugian Ekonomi'!AY19</f>
        <v>10</v>
      </c>
      <c r="H43" s="133">
        <v>0</v>
      </c>
      <c r="I43" s="142">
        <f>'Tabulasi Kerugian Ekonomi'!AY39</f>
        <v>0</v>
      </c>
      <c r="J43" s="149">
        <v>0</v>
      </c>
      <c r="K43" s="138">
        <f>'Tabulasi Kerugian Ekonomi'!AY59</f>
        <v>0</v>
      </c>
      <c r="L43" s="158">
        <v>0</v>
      </c>
      <c r="M43" s="161">
        <f>'Tabulasi Kerugian Ekonomi'!AY79</f>
        <v>0</v>
      </c>
      <c r="N43" s="161">
        <v>0</v>
      </c>
      <c r="O43" s="165">
        <f>'Tabulasi Kerugian Ekonomi'!AY99</f>
        <v>0</v>
      </c>
      <c r="P43" s="165">
        <v>0</v>
      </c>
    </row>
    <row r="44" spans="1:16">
      <c r="A44" s="185"/>
      <c r="B44" s="186"/>
      <c r="C44" s="186"/>
      <c r="D44" s="231"/>
      <c r="E44" s="231"/>
      <c r="F44" s="119" t="s">
        <v>277</v>
      </c>
      <c r="G44" s="135">
        <f>'Tabulasi Kerugian Ekonomi'!AY20</f>
        <v>0</v>
      </c>
      <c r="H44" s="133">
        <v>0</v>
      </c>
      <c r="I44" s="142">
        <f>'Tabulasi Kerugian Ekonomi'!AY40</f>
        <v>0</v>
      </c>
      <c r="J44" s="149">
        <v>0</v>
      </c>
      <c r="K44" s="138">
        <f>'Tabulasi Kerugian Ekonomi'!AY60</f>
        <v>0</v>
      </c>
      <c r="L44" s="158">
        <v>0</v>
      </c>
      <c r="M44" s="161">
        <f>'Tabulasi Kerugian Ekonomi'!AY80</f>
        <v>0</v>
      </c>
      <c r="N44" s="161">
        <v>0</v>
      </c>
      <c r="O44" s="165">
        <f>'Tabulasi Kerugian Ekonomi'!AY100</f>
        <v>0</v>
      </c>
      <c r="P44" s="165">
        <v>0</v>
      </c>
    </row>
    <row r="45" spans="1:16" ht="28">
      <c r="A45" s="185"/>
      <c r="B45" s="186"/>
      <c r="C45" s="186"/>
      <c r="D45" s="231"/>
      <c r="E45" s="231"/>
      <c r="F45" s="121" t="s">
        <v>353</v>
      </c>
      <c r="G45" s="133">
        <f>'Tabulasi Kerugian Ekonomi'!AY21</f>
        <v>40</v>
      </c>
      <c r="H45" s="133">
        <v>0</v>
      </c>
      <c r="I45" s="141">
        <f>'Tabulasi Kerugian Ekonomi'!AY41</f>
        <v>50</v>
      </c>
      <c r="J45" s="149">
        <v>0</v>
      </c>
      <c r="K45" s="128">
        <f>'Tabulasi Kerugian Ekonomi'!AY61</f>
        <v>60</v>
      </c>
      <c r="L45" s="158">
        <v>0</v>
      </c>
      <c r="M45" s="139">
        <f>'Tabulasi Kerugian Ekonomi'!AY81</f>
        <v>30</v>
      </c>
      <c r="N45" s="162">
        <v>0</v>
      </c>
      <c r="O45" s="115">
        <f>'Tabulasi Kerugian Ekonomi'!AY101</f>
        <v>40</v>
      </c>
      <c r="P45" s="166">
        <v>0</v>
      </c>
    </row>
    <row r="46" spans="1:16">
      <c r="A46" s="185"/>
      <c r="B46" s="186"/>
      <c r="C46" s="186"/>
      <c r="D46" s="231"/>
      <c r="E46" s="231"/>
      <c r="F46" s="121" t="s">
        <v>354</v>
      </c>
      <c r="G46" s="133">
        <f>'Tabulasi Kerugian Ekonomi'!AY22</f>
        <v>30</v>
      </c>
      <c r="H46" s="133">
        <v>0</v>
      </c>
      <c r="I46" s="141">
        <f>'Tabulasi Kerugian Ekonomi'!AY42</f>
        <v>30</v>
      </c>
      <c r="J46" s="149">
        <v>0</v>
      </c>
      <c r="K46" s="128">
        <f>'Tabulasi Kerugian Ekonomi'!AY62</f>
        <v>10</v>
      </c>
      <c r="L46" s="158">
        <v>0</v>
      </c>
      <c r="M46" s="131">
        <f>'Tabulasi Kerugian Ekonomi'!AY82</f>
        <v>20</v>
      </c>
      <c r="N46" s="161">
        <v>0</v>
      </c>
      <c r="O46" s="93">
        <f>'Tabulasi Kerugian Ekonomi'!AY102</f>
        <v>50</v>
      </c>
      <c r="P46" s="165">
        <v>0</v>
      </c>
    </row>
    <row r="47" spans="1:16" ht="28">
      <c r="A47" s="185"/>
      <c r="B47" s="186"/>
      <c r="C47" s="186"/>
      <c r="D47" s="225"/>
      <c r="E47" s="225"/>
      <c r="F47" s="121" t="s">
        <v>280</v>
      </c>
      <c r="G47" s="133">
        <f>'Tabulasi Kerugian Ekonomi'!AY23</f>
        <v>0</v>
      </c>
      <c r="H47" s="133">
        <v>0</v>
      </c>
      <c r="I47" s="141">
        <f>'Tabulasi Kerugian Ekonomi'!AY43</f>
        <v>10</v>
      </c>
      <c r="J47" s="149">
        <v>0</v>
      </c>
      <c r="K47" s="128">
        <f>'Tabulasi Kerugian Ekonomi'!AY63</f>
        <v>30</v>
      </c>
      <c r="L47" s="158">
        <v>0</v>
      </c>
      <c r="M47" s="139">
        <f>'Tabulasi Kerugian Ekonomi'!AY83</f>
        <v>50</v>
      </c>
      <c r="N47" s="162">
        <v>0</v>
      </c>
      <c r="O47" s="115">
        <f>'Tabulasi Kerugian Ekonomi'!AY103</f>
        <v>10</v>
      </c>
      <c r="P47" s="166">
        <v>0</v>
      </c>
    </row>
    <row r="48" spans="1:16">
      <c r="A48" s="185"/>
      <c r="B48" s="186"/>
      <c r="C48" s="186"/>
      <c r="D48" s="120" t="s">
        <v>334</v>
      </c>
      <c r="E48" s="119" t="s">
        <v>339</v>
      </c>
      <c r="F48" s="119"/>
      <c r="G48" s="128">
        <f>'Tabulasi Kerugian Ekonomi'!AW16</f>
        <v>99583.333333333328</v>
      </c>
      <c r="H48" s="128">
        <f>'Tabulasi Kerugian Ekonomi'!AW17</f>
        <v>49532.147560703554</v>
      </c>
      <c r="I48" s="143">
        <f>'Tabulasi Kerugian Ekonomi'!AW36</f>
        <v>225000</v>
      </c>
      <c r="J48" s="150">
        <f>'Tabulasi Kerugian Ekonomi'!AW37</f>
        <v>224459.22668592722</v>
      </c>
      <c r="K48" s="128">
        <f>'Tabulasi Kerugian Ekonomi'!AW56</f>
        <v>349333.33333333337</v>
      </c>
      <c r="L48" s="130">
        <f>'Tabulasi Kerugian Ekonomi'!AW57</f>
        <v>263830.0519203532</v>
      </c>
      <c r="M48" s="131">
        <f>'Tabulasi Kerugian Ekonomi'!AW76</f>
        <v>236695.23809523805</v>
      </c>
      <c r="N48" s="131">
        <f>'Tabulasi Kerugian Ekonomi'!AW77</f>
        <v>56494.809425853484</v>
      </c>
      <c r="O48" s="93">
        <f>'Tabulasi Kerugian Ekonomi'!AW96</f>
        <v>495761.90476190468</v>
      </c>
      <c r="P48" s="93">
        <f>'Tabulasi Kerugian Ekonomi'!AW97</f>
        <v>108429.8831345099</v>
      </c>
    </row>
    <row r="49" spans="1:16" ht="15.5" customHeight="1">
      <c r="A49" s="185" t="s">
        <v>24</v>
      </c>
      <c r="B49" s="199" t="s">
        <v>342</v>
      </c>
      <c r="C49" s="186"/>
      <c r="D49" s="227" t="s">
        <v>334</v>
      </c>
      <c r="E49" s="119" t="s">
        <v>321</v>
      </c>
      <c r="F49" s="119"/>
      <c r="G49" s="128">
        <f>'Tabulasi Kerugian Ekonomi'!BC16</f>
        <v>173500</v>
      </c>
      <c r="H49" s="117">
        <f>'Tabulasi Kerugian Ekonomi'!BC17</f>
        <v>75112.87801998033</v>
      </c>
      <c r="I49" s="143">
        <f>'Tabulasi Kerugian Ekonomi'!BC36</f>
        <v>383000</v>
      </c>
      <c r="J49" s="150">
        <f>'Tabulasi Kerugian Ekonomi'!BC37</f>
        <v>201207.46617470347</v>
      </c>
      <c r="K49" s="141">
        <f>'Tabulasi Kerugian Ekonomi'!BC56</f>
        <v>676500</v>
      </c>
      <c r="L49" s="159">
        <f>'Tabulasi Kerugian Ekonomi'!BC57</f>
        <v>131678.26953095436</v>
      </c>
      <c r="M49" s="131">
        <f>'Tabulasi Kerugian Ekonomi'!BC76</f>
        <v>1629000</v>
      </c>
      <c r="N49" s="131">
        <f>'Tabulasi Kerugian Ekonomi'!BC77</f>
        <v>333089.91111843794</v>
      </c>
      <c r="O49" s="93">
        <f>'Tabulasi Kerugian Ekonomi'!BC96</f>
        <v>5384000</v>
      </c>
      <c r="P49" s="93">
        <f>'Tabulasi Kerugian Ekonomi'!BC97</f>
        <v>621784.17120055051</v>
      </c>
    </row>
    <row r="50" spans="1:16">
      <c r="A50" s="185"/>
      <c r="B50" s="199"/>
      <c r="C50" s="186"/>
      <c r="D50" s="227"/>
      <c r="E50" s="119" t="s">
        <v>322</v>
      </c>
      <c r="F50" s="119"/>
      <c r="G50" s="173">
        <f>'Tabulasi Kerugian Ekonomi'!BD16</f>
        <v>419638.09523809527</v>
      </c>
      <c r="H50" s="128">
        <f>'Tabulasi Kerugian Ekonomi'!BD17</f>
        <v>159912.02733934767</v>
      </c>
      <c r="I50" s="143">
        <f>'Tabulasi Kerugian Ekonomi'!BD36</f>
        <v>1134499.9999999998</v>
      </c>
      <c r="J50" s="150">
        <f>'Tabulasi Kerugian Ekonomi'!BD37</f>
        <v>694087.48603587807</v>
      </c>
      <c r="K50" s="141">
        <f>'Tabulasi Kerugian Ekonomi'!BD56</f>
        <v>1634208.3333333335</v>
      </c>
      <c r="L50" s="159">
        <f>'Tabulasi Kerugian Ekonomi'!BD57</f>
        <v>427663.6955563486</v>
      </c>
      <c r="M50" s="131">
        <f>'Tabulasi Kerugian Ekonomi'!BD76</f>
        <v>2536645.2380952379</v>
      </c>
      <c r="N50" s="131">
        <f>'Tabulasi Kerugian Ekonomi'!BD77</f>
        <v>373368.90259000746</v>
      </c>
      <c r="O50" s="93">
        <f>'Tabulasi Kerugian Ekonomi'!BD96</f>
        <v>7423011.9047619049</v>
      </c>
      <c r="P50" s="93">
        <f>'Tabulasi Kerugian Ekonomi'!BD97</f>
        <v>747095.55200516398</v>
      </c>
    </row>
    <row r="51" spans="1:16" s="118" customFormat="1">
      <c r="A51" s="185"/>
      <c r="B51" s="199"/>
      <c r="C51" s="186"/>
      <c r="D51" s="116" t="s">
        <v>319</v>
      </c>
      <c r="E51" s="60" t="s">
        <v>333</v>
      </c>
      <c r="F51" s="60"/>
      <c r="G51" s="174">
        <f>'Tabulasi Kerugian Ekonomi'!BE16</f>
        <v>153.83686871373715</v>
      </c>
      <c r="H51" s="117">
        <f>'Tabulasi Kerugian Ekonomi'!BE17</f>
        <v>71.771480328017134</v>
      </c>
      <c r="I51" s="176">
        <f>'Tabulasi Kerugian Ekonomi'!BE36</f>
        <v>212.50590664238774</v>
      </c>
      <c r="J51" s="150">
        <f>'Tabulasi Kerugian Ekonomi'!BE37</f>
        <v>178.18319607457457</v>
      </c>
      <c r="K51" s="179">
        <f>'Tabulasi Kerugian Ekonomi'!BE56</f>
        <v>144.86216544831569</v>
      </c>
      <c r="L51" s="159">
        <f>'Tabulasi Kerugian Ekonomi'!BE57</f>
        <v>60.959522568630057</v>
      </c>
      <c r="M51" s="122">
        <f>'Tabulasi Kerugian Ekonomi'!BE76</f>
        <v>58.031620700788004</v>
      </c>
      <c r="N51" s="131">
        <f>'Tabulasi Kerugian Ekonomi'!BE77</f>
        <v>15.994960539732078</v>
      </c>
      <c r="O51" s="122">
        <f>'Tabulasi Kerugian Ekonomi'!BE96</f>
        <v>38.200728173281348</v>
      </c>
      <c r="P51" s="131">
        <f>'Tabulasi Kerugian Ekonomi'!BE97</f>
        <v>6.5621711340911562</v>
      </c>
    </row>
    <row r="52" spans="1:16">
      <c r="A52" s="196" t="s">
        <v>25</v>
      </c>
      <c r="B52" s="193" t="s">
        <v>356</v>
      </c>
      <c r="C52" s="196"/>
      <c r="D52" s="224" t="s">
        <v>357</v>
      </c>
      <c r="E52" s="119" t="s">
        <v>321</v>
      </c>
      <c r="F52" s="119"/>
      <c r="G52" s="174">
        <f>'Tabulasi Kerugian Ekonomi'!AZ16</f>
        <v>99.1</v>
      </c>
      <c r="H52" s="117">
        <f>'Tabulasi Kerugian Ekonomi'!AZ17</f>
        <v>15.322097332502036</v>
      </c>
      <c r="I52" s="176">
        <f>'Tabulasi Kerugian Ekonomi'!AZ36</f>
        <v>380</v>
      </c>
      <c r="J52" s="150">
        <f>'Tabulasi Kerugian Ekonomi'!AZ37</f>
        <v>285.96814119369623</v>
      </c>
      <c r="K52" s="179">
        <f>'Tabulasi Kerugian Ekonomi'!AZ56</f>
        <v>568</v>
      </c>
      <c r="L52" s="159">
        <f>'Tabulasi Kerugian Ekonomi'!AZ57</f>
        <v>352.94947702657578</v>
      </c>
      <c r="M52" s="122">
        <f>'Tabulasi Kerugian Ekonomi'!AZ76</f>
        <v>714</v>
      </c>
      <c r="N52" s="131">
        <f>'Tabulasi Kerugian Ekonomi'!AZ77</f>
        <v>153.05772331596557</v>
      </c>
      <c r="O52" s="122">
        <f>'Tabulasi Kerugian Ekonomi'!AZ96</f>
        <v>1119</v>
      </c>
      <c r="P52" s="93">
        <f>'Tabulasi Kerugian Ekonomi'!AZ97</f>
        <v>211.05291595553314</v>
      </c>
    </row>
    <row r="53" spans="1:16">
      <c r="A53" s="197"/>
      <c r="B53" s="194"/>
      <c r="C53" s="197"/>
      <c r="D53" s="225"/>
      <c r="E53" s="119" t="s">
        <v>322</v>
      </c>
      <c r="F53" s="119"/>
      <c r="G53" s="174">
        <f>'Tabulasi Kerugian Ekonomi'!BA16</f>
        <v>90.5</v>
      </c>
      <c r="H53" s="117">
        <f>'Tabulasi Kerugian Ekonomi'!BA17</f>
        <v>12.349089035228468</v>
      </c>
      <c r="I53" s="176">
        <f>'Tabulasi Kerugian Ekonomi'!BA36</f>
        <v>324.5</v>
      </c>
      <c r="J53" s="150">
        <f>'Tabulasi Kerugian Ekonomi'!BA37</f>
        <v>271.37970529213203</v>
      </c>
      <c r="K53" s="179">
        <f>'Tabulasi Kerugian Ekonomi'!BA56</f>
        <v>508</v>
      </c>
      <c r="L53" s="159">
        <f>'Tabulasi Kerugian Ekonomi'!BA57</f>
        <v>350.73890257252299</v>
      </c>
      <c r="M53" s="122">
        <f>'Tabulasi Kerugian Ekonomi'!BA76</f>
        <v>645</v>
      </c>
      <c r="N53" s="131">
        <f>'Tabulasi Kerugian Ekonomi'!BA77</f>
        <v>163.8596960817394</v>
      </c>
      <c r="O53" s="122">
        <f>'Tabulasi Kerugian Ekonomi'!BA96</f>
        <v>1013</v>
      </c>
      <c r="P53" s="93">
        <f>'Tabulasi Kerugian Ekonomi'!BA97</f>
        <v>160.55805457493838</v>
      </c>
    </row>
    <row r="54" spans="1:16" s="118" customFormat="1">
      <c r="A54" s="198"/>
      <c r="B54" s="195"/>
      <c r="C54" s="198"/>
      <c r="D54" s="116" t="s">
        <v>319</v>
      </c>
      <c r="E54" s="60" t="s">
        <v>333</v>
      </c>
      <c r="F54" s="60"/>
      <c r="G54" s="174">
        <f>'Tabulasi Kerugian Ekonomi'!BB16</f>
        <v>-8.4029223870105145</v>
      </c>
      <c r="H54" s="117">
        <f>'Tabulasi Kerugian Ekonomi'!BB17</f>
        <v>3.4486100268685544</v>
      </c>
      <c r="I54" s="177">
        <f>'Tabulasi Kerugian Ekonomi'!BB36</f>
        <v>-17.533333333333335</v>
      </c>
      <c r="J54" s="150">
        <f>'Tabulasi Kerugian Ekonomi'!BB37</f>
        <v>12.161921956623974</v>
      </c>
      <c r="K54" s="174">
        <f>'Tabulasi Kerugian Ekonomi'!BB56</f>
        <v>-14.841666666666665</v>
      </c>
      <c r="L54" s="159">
        <f>'Tabulasi Kerugian Ekonomi'!BB57</f>
        <v>10.032235851137051</v>
      </c>
      <c r="M54" s="180">
        <f>'Tabulasi Kerugian Ekonomi'!BB76</f>
        <v>-10.163481381820102</v>
      </c>
      <c r="N54" s="131">
        <f>'Tabulasi Kerugian Ekonomi'!BB77</f>
        <v>5.6051837482536415</v>
      </c>
      <c r="O54" s="180">
        <f>'Tabulasi Kerugian Ekonomi'!BB96</f>
        <v>-8.9257987587590666</v>
      </c>
      <c r="P54" s="131">
        <f>'Tabulasi Kerugian Ekonomi'!BB97</f>
        <v>5.0559106224182111</v>
      </c>
    </row>
    <row r="55" spans="1:16">
      <c r="A55" s="185" t="s">
        <v>26</v>
      </c>
      <c r="B55" s="186" t="s">
        <v>343</v>
      </c>
      <c r="C55" s="199"/>
      <c r="D55" s="227" t="s">
        <v>334</v>
      </c>
      <c r="E55" s="119" t="s">
        <v>321</v>
      </c>
      <c r="F55" s="119"/>
      <c r="G55" s="173">
        <f>'Tabulasi Kerugian Ekonomi'!BG16</f>
        <v>2175000</v>
      </c>
      <c r="H55" s="128">
        <f>'Tabulasi Kerugian Ekonomi'!BG17</f>
        <v>1006437.6119097829</v>
      </c>
      <c r="I55" s="173">
        <f>'Tabulasi Kerugian Ekonomi'!BG36</f>
        <v>2120000</v>
      </c>
      <c r="J55" s="129">
        <f>'Tabulasi Kerugian Ekonomi'!BG37</f>
        <v>2536511.1647475334</v>
      </c>
      <c r="K55" s="179">
        <f>'Tabulasi Kerugian Ekonomi'!BG56</f>
        <v>7150000</v>
      </c>
      <c r="L55" s="159">
        <f>'Tabulasi Kerugian Ekonomi'!BG57</f>
        <v>2236689.02124944</v>
      </c>
      <c r="M55" s="122">
        <f>'Tabulasi Kerugian Ekonomi'!BG76</f>
        <v>25900000</v>
      </c>
      <c r="N55" s="131">
        <f>'Tabulasi Kerugian Ekonomi'!BG77</f>
        <v>7144539.4844205631</v>
      </c>
      <c r="O55" s="122">
        <f>'Tabulasi Kerugian Ekonomi'!BG96</f>
        <v>144000000</v>
      </c>
      <c r="P55" s="93">
        <f>'Tabulasi Kerugian Ekonomi'!BG97</f>
        <v>27668674.625929508</v>
      </c>
    </row>
    <row r="56" spans="1:16">
      <c r="A56" s="185"/>
      <c r="B56" s="186"/>
      <c r="C56" s="199"/>
      <c r="D56" s="227"/>
      <c r="E56" s="119" t="s">
        <v>322</v>
      </c>
      <c r="F56" s="119"/>
      <c r="G56" s="173">
        <f>'Tabulasi Kerugian Ekonomi'!BH16</f>
        <v>1721000</v>
      </c>
      <c r="H56" s="128">
        <f>'Tabulasi Kerugian Ekonomi'!BH17</f>
        <v>754401.16059766978</v>
      </c>
      <c r="I56" s="173">
        <f>'Tabulasi Kerugian Ekonomi'!BH36</f>
        <v>1834000</v>
      </c>
      <c r="J56" s="129">
        <f>'Tabulasi Kerugian Ekonomi'!BH37</f>
        <v>2315863.1700129053</v>
      </c>
      <c r="K56" s="179">
        <f>'Tabulasi Kerugian Ekonomi'!BH56</f>
        <v>6200000</v>
      </c>
      <c r="L56" s="159">
        <f>'Tabulasi Kerugian Ekonomi'!BH57</f>
        <v>2106603.3745766613</v>
      </c>
      <c r="M56" s="122">
        <f>'Tabulasi Kerugian Ekonomi'!BH76</f>
        <v>23650000</v>
      </c>
      <c r="N56" s="131">
        <f>'Tabulasi Kerugian Ekonomi'!BH77</f>
        <v>7031871.8860785728</v>
      </c>
      <c r="O56" s="122">
        <f>'Tabulasi Kerugian Ekonomi'!BH96</f>
        <v>133950000</v>
      </c>
      <c r="P56" s="93">
        <f>'Tabulasi Kerugian Ekonomi'!BH97</f>
        <v>29682065.292024408</v>
      </c>
    </row>
    <row r="57" spans="1:16" s="118" customFormat="1">
      <c r="A57" s="185"/>
      <c r="B57" s="186"/>
      <c r="C57" s="199"/>
      <c r="D57" s="116" t="s">
        <v>319</v>
      </c>
      <c r="E57" s="60" t="s">
        <v>333</v>
      </c>
      <c r="F57" s="60"/>
      <c r="G57" s="174">
        <f>'Tabulasi Kerugian Ekonomi'!BI16</f>
        <v>-19.023572972285784</v>
      </c>
      <c r="H57" s="137">
        <f>'Tabulasi Kerugian Ekonomi'!BI17</f>
        <v>11.256090476779475</v>
      </c>
      <c r="I57" s="178">
        <f>'Tabulasi Kerugian Ekonomi'!BI36</f>
        <v>-18.699830672472181</v>
      </c>
      <c r="J57" s="129">
        <f>'Tabulasi Kerugian Ekonomi'!BI37</f>
        <v>9.9805018892481954</v>
      </c>
      <c r="K57" s="174">
        <f>'Tabulasi Kerugian Ekonomi'!BI56</f>
        <v>-13.932915622389308</v>
      </c>
      <c r="L57" s="159">
        <f>'Tabulasi Kerugian Ekonomi'!BI57</f>
        <v>3.9876912958585229</v>
      </c>
      <c r="M57" s="180">
        <f>'Tabulasi Kerugian Ekonomi'!BI76</f>
        <v>-8.9346010363307435</v>
      </c>
      <c r="N57" s="131">
        <f>'Tabulasi Kerugian Ekonomi'!BI77</f>
        <v>4.9209350225679733</v>
      </c>
      <c r="O57" s="180">
        <f>'Tabulasi Kerugian Ekonomi'!BI96</f>
        <v>-7.3597824031260561</v>
      </c>
      <c r="P57" s="131">
        <f>'Tabulasi Kerugian Ekonomi'!BI97</f>
        <v>4.9839740055282125</v>
      </c>
    </row>
    <row r="58" spans="1:16">
      <c r="A58" s="185" t="s">
        <v>27</v>
      </c>
      <c r="B58" s="186" t="s">
        <v>344</v>
      </c>
      <c r="C58" s="186"/>
      <c r="D58" s="227" t="s">
        <v>334</v>
      </c>
      <c r="E58" s="119" t="s">
        <v>321</v>
      </c>
      <c r="F58" s="119"/>
      <c r="G58" s="175">
        <f>'Tabulasi Kerugian Ekonomi'!BJ16</f>
        <v>2001500</v>
      </c>
      <c r="H58" s="133">
        <f>'Tabulasi Kerugian Ekonomi'!BJ17</f>
        <v>1023882.9957025797</v>
      </c>
      <c r="I58" s="173">
        <f>'Tabulasi Kerugian Ekonomi'!BJ36</f>
        <v>2147400</v>
      </c>
      <c r="J58" s="129">
        <f>'Tabulasi Kerugian Ekonomi'!BJ37</f>
        <v>2549866.2274279757</v>
      </c>
      <c r="K58" s="179">
        <f>'Tabulasi Kerugian Ekonomi'!BJ56</f>
        <v>6473500</v>
      </c>
      <c r="L58" s="159">
        <f>'Tabulasi Kerugian Ekonomi'!BJ57</f>
        <v>2245008.1044149683</v>
      </c>
      <c r="M58" s="122">
        <f>'Tabulasi Kerugian Ekonomi'!BJ76</f>
        <v>24271000</v>
      </c>
      <c r="N58" s="131">
        <f>'Tabulasi Kerugian Ekonomi'!BJ77</f>
        <v>7065098.4108896572</v>
      </c>
      <c r="O58" s="122">
        <f>'Tabulasi Kerugian Ekonomi'!BJ96</f>
        <v>136576988.09523812</v>
      </c>
      <c r="P58" s="93">
        <f>'Tabulasi Kerugian Ekonomi'!BJ97</f>
        <v>27225503.593941391</v>
      </c>
    </row>
    <row r="59" spans="1:16">
      <c r="A59" s="185"/>
      <c r="B59" s="186"/>
      <c r="C59" s="186"/>
      <c r="D59" s="227"/>
      <c r="E59" s="119" t="s">
        <v>322</v>
      </c>
      <c r="F59" s="119"/>
      <c r="G59" s="173">
        <f>'Tabulasi Kerugian Ekonomi'!BK16</f>
        <v>1301361.9047619049</v>
      </c>
      <c r="H59" s="128">
        <f>'Tabulasi Kerugian Ekonomi'!BK17</f>
        <v>810838.35012458125</v>
      </c>
      <c r="I59" s="173">
        <f>'Tabulasi Kerugian Ekonomi'!BK36</f>
        <v>2160600</v>
      </c>
      <c r="J59" s="129">
        <f>'Tabulasi Kerugian Ekonomi'!BK37</f>
        <v>2614784.5377798043</v>
      </c>
      <c r="K59" s="179">
        <f>'Tabulasi Kerugian Ekonomi'!BK56</f>
        <v>4565791.666666667</v>
      </c>
      <c r="L59" s="159">
        <f>'Tabulasi Kerugian Ekonomi'!BK57</f>
        <v>2229567.2922275718</v>
      </c>
      <c r="M59" s="122">
        <f>'Tabulasi Kerugian Ekonomi'!BK76</f>
        <v>21113354.761904761</v>
      </c>
      <c r="N59" s="131">
        <f>'Tabulasi Kerugian Ekonomi'!BK77</f>
        <v>6851856.0686939824</v>
      </c>
      <c r="O59" s="122">
        <f>'Tabulasi Kerugian Ekonomi'!BK96</f>
        <v>126526988.09523812</v>
      </c>
      <c r="P59" s="93">
        <f>'Tabulasi Kerugian Ekonomi'!BK97</f>
        <v>29284697.001734525</v>
      </c>
    </row>
    <row r="60" spans="1:16" s="118" customFormat="1">
      <c r="A60" s="185"/>
      <c r="B60" s="186"/>
      <c r="C60" s="186"/>
      <c r="D60" s="116" t="s">
        <v>319</v>
      </c>
      <c r="E60" s="60" t="s">
        <v>333</v>
      </c>
      <c r="F60" s="60"/>
      <c r="G60" s="174">
        <f>'Tabulasi Kerugian Ekonomi'!BM16</f>
        <v>-37.819841142188245</v>
      </c>
      <c r="H60" s="117">
        <f>'Tabulasi Kerugian Ekonomi'!BM17</f>
        <v>13.488357245071757</v>
      </c>
      <c r="I60" s="178">
        <f>'Tabulasi Kerugian Ekonomi'!BM36</f>
        <v>-34.600876813400923</v>
      </c>
      <c r="J60" s="129">
        <f>'Tabulasi Kerugian Ekonomi'!BM37</f>
        <v>15.900697469462797</v>
      </c>
      <c r="K60" s="174">
        <f>'Tabulasi Kerugian Ekonomi'!BM56</f>
        <v>-32.587888801300089</v>
      </c>
      <c r="L60" s="159">
        <f>'Tabulasi Kerugian Ekonomi'!BM57</f>
        <v>14.666392096791895</v>
      </c>
      <c r="M60" s="180">
        <f>'Tabulasi Kerugian Ekonomi'!BM76</f>
        <v>-13.481738780523539</v>
      </c>
      <c r="N60" s="131">
        <f>'Tabulasi Kerugian Ekonomi'!BM77</f>
        <v>5.6127692033570673</v>
      </c>
      <c r="O60" s="180">
        <f>'Tabulasi Kerugian Ekonomi'!BM96</f>
        <v>-7.7931048273903416</v>
      </c>
      <c r="P60" s="131">
        <f>'Tabulasi Kerugian Ekonomi'!BM97</f>
        <v>5.3061212384610243</v>
      </c>
    </row>
  </sheetData>
  <mergeCells count="53">
    <mergeCell ref="B3:B5"/>
    <mergeCell ref="A3:A5"/>
    <mergeCell ref="B6:B11"/>
    <mergeCell ref="A6:A11"/>
    <mergeCell ref="E42:E47"/>
    <mergeCell ref="D40:D47"/>
    <mergeCell ref="E23:E28"/>
    <mergeCell ref="D22:D28"/>
    <mergeCell ref="E32:E37"/>
    <mergeCell ref="D31:D37"/>
    <mergeCell ref="C12:C14"/>
    <mergeCell ref="D15:D16"/>
    <mergeCell ref="C15:C17"/>
    <mergeCell ref="D3:D5"/>
    <mergeCell ref="C3:C5"/>
    <mergeCell ref="B55:B57"/>
    <mergeCell ref="A55:A57"/>
    <mergeCell ref="D58:D59"/>
    <mergeCell ref="C58:C60"/>
    <mergeCell ref="B58:B60"/>
    <mergeCell ref="A58:A60"/>
    <mergeCell ref="O4:P4"/>
    <mergeCell ref="G3:P3"/>
    <mergeCell ref="D55:D56"/>
    <mergeCell ref="C55:C57"/>
    <mergeCell ref="D18:D19"/>
    <mergeCell ref="C18:C20"/>
    <mergeCell ref="G4:H4"/>
    <mergeCell ref="I4:J4"/>
    <mergeCell ref="K4:L4"/>
    <mergeCell ref="D6:D7"/>
    <mergeCell ref="C6:C8"/>
    <mergeCell ref="D9:D10"/>
    <mergeCell ref="C9:C11"/>
    <mergeCell ref="F3:F5"/>
    <mergeCell ref="E3:E5"/>
    <mergeCell ref="D49:D50"/>
    <mergeCell ref="D52:D53"/>
    <mergeCell ref="C52:C54"/>
    <mergeCell ref="B52:B54"/>
    <mergeCell ref="A52:A54"/>
    <mergeCell ref="M4:N4"/>
    <mergeCell ref="B21:B48"/>
    <mergeCell ref="A21:A48"/>
    <mergeCell ref="C49:C51"/>
    <mergeCell ref="B49:B51"/>
    <mergeCell ref="A49:A51"/>
    <mergeCell ref="C21:C29"/>
    <mergeCell ref="C30:C38"/>
    <mergeCell ref="C39:C48"/>
    <mergeCell ref="B12:B20"/>
    <mergeCell ref="A12:A20"/>
    <mergeCell ref="D12:D13"/>
  </mergeCell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workbookViewId="0">
      <selection activeCell="I10" sqref="I10"/>
    </sheetView>
  </sheetViews>
  <sheetFormatPr defaultRowHeight="14.5"/>
  <cols>
    <col min="1" max="1" width="28" bestFit="1" customWidth="1"/>
    <col min="2" max="2" width="11.1796875" bestFit="1" customWidth="1"/>
    <col min="3" max="3" width="8.7265625" customWidth="1"/>
    <col min="4" max="4" width="11" customWidth="1"/>
  </cols>
  <sheetData>
    <row r="2" spans="1:7">
      <c r="A2" s="1" t="s">
        <v>368</v>
      </c>
    </row>
    <row r="4" spans="1:7">
      <c r="A4" s="226" t="s">
        <v>361</v>
      </c>
      <c r="B4" s="235" t="s">
        <v>369</v>
      </c>
      <c r="C4" s="235"/>
      <c r="D4" s="235"/>
      <c r="E4" s="235"/>
      <c r="F4" s="235"/>
    </row>
    <row r="5" spans="1:7">
      <c r="A5" s="226"/>
      <c r="B5" s="78" t="s">
        <v>325</v>
      </c>
      <c r="C5" s="78" t="s">
        <v>326</v>
      </c>
      <c r="D5" s="78" t="s">
        <v>327</v>
      </c>
      <c r="E5" s="78" t="s">
        <v>362</v>
      </c>
      <c r="F5" s="78" t="s">
        <v>329</v>
      </c>
    </row>
    <row r="6" spans="1:7">
      <c r="A6" s="7" t="s">
        <v>364</v>
      </c>
      <c r="B6" s="172">
        <f>'Kerugian Ekonomi'!G8</f>
        <v>24.583333333333332</v>
      </c>
      <c r="C6" s="12">
        <f>'Kerugian Ekonomi'!I8</f>
        <v>19.38095238095238</v>
      </c>
      <c r="D6" s="172">
        <f>'Kerugian Ekonomi'!K8</f>
        <v>18.684637584637589</v>
      </c>
      <c r="E6" s="12">
        <f>'Kerugian Ekonomi'!M8</f>
        <v>17.32595428085337</v>
      </c>
      <c r="F6" s="12">
        <f>'Kerugian Ekonomi'!O8</f>
        <v>5.1737480846210264</v>
      </c>
    </row>
    <row r="7" spans="1:7">
      <c r="A7" s="7" t="s">
        <v>363</v>
      </c>
      <c r="B7" s="171">
        <f>'Kerugian Ekonomi'!G11</f>
        <v>28.333333333333332</v>
      </c>
      <c r="C7" s="12">
        <f>'Kerugian Ekonomi'!I11</f>
        <v>25.095238095238095</v>
      </c>
      <c r="D7" s="12">
        <f>'Kerugian Ekonomi'!K11</f>
        <v>24.25</v>
      </c>
      <c r="E7" s="12">
        <f>'Kerugian Ekonomi'!M11</f>
        <v>33.322510822510814</v>
      </c>
      <c r="F7" s="12">
        <f>'Kerugian Ekonomi'!O11</f>
        <v>15.849121466768523</v>
      </c>
    </row>
    <row r="8" spans="1:7">
      <c r="A8" s="7" t="s">
        <v>360</v>
      </c>
      <c r="B8" s="172">
        <f>'Kerugian Ekonomi'!G14</f>
        <v>46.845238095238095</v>
      </c>
      <c r="C8" s="172">
        <f>'Kerugian Ekonomi'!I14</f>
        <v>38.077777777777769</v>
      </c>
      <c r="D8" s="12">
        <f>'Kerugian Ekonomi'!K14</f>
        <v>13.259125085440875</v>
      </c>
      <c r="E8" s="172">
        <f>'Kerugian Ekonomi'!M14</f>
        <v>14.791540081347028</v>
      </c>
      <c r="F8" s="12">
        <f>'Kerugian Ekonomi'!O14</f>
        <v>6.1304424873446726</v>
      </c>
    </row>
    <row r="9" spans="1:7">
      <c r="A9" s="7" t="s">
        <v>335</v>
      </c>
      <c r="B9" s="12">
        <f>'Kerugian Ekonomi'!G20</f>
        <v>37.619648869648863</v>
      </c>
      <c r="C9" s="12">
        <f>'Kerugian Ekonomi'!I20</f>
        <v>29.694444444444439</v>
      </c>
      <c r="D9" s="12">
        <f>'Kerugian Ekonomi'!K20</f>
        <v>17.776947230505105</v>
      </c>
      <c r="E9" s="12">
        <f>'Kerugian Ekonomi'!M20</f>
        <v>18.41541531699686</v>
      </c>
      <c r="F9" s="12">
        <f>'Kerugian Ekonomi'!O20</f>
        <v>9.5911047958742088</v>
      </c>
    </row>
    <row r="10" spans="1:7">
      <c r="A10" s="7" t="s">
        <v>365</v>
      </c>
      <c r="B10" s="12">
        <f>'Kerugian Ekonomi'!G51</f>
        <v>153.83686871373715</v>
      </c>
      <c r="C10" s="172">
        <f>'Kerugian Ekonomi'!I51</f>
        <v>212.50590664238774</v>
      </c>
      <c r="D10" s="12">
        <f>'Kerugian Ekonomi'!K51</f>
        <v>144.86216544831569</v>
      </c>
      <c r="E10" s="12">
        <f>'Kerugian Ekonomi'!M51</f>
        <v>58.031620700788004</v>
      </c>
      <c r="F10" s="12">
        <f>'Kerugian Ekonomi'!O51</f>
        <v>38.200728173281348</v>
      </c>
    </row>
    <row r="11" spans="1:7">
      <c r="A11" s="170" t="s">
        <v>356</v>
      </c>
      <c r="B11" s="12">
        <f>'Kerugian Ekonomi'!G54</f>
        <v>-8.4029223870105145</v>
      </c>
      <c r="C11" s="12">
        <f>'Kerugian Ekonomi'!I54</f>
        <v>-17.533333333333335</v>
      </c>
      <c r="D11" s="12">
        <f>'Kerugian Ekonomi'!K54</f>
        <v>-14.841666666666665</v>
      </c>
      <c r="E11" s="12">
        <f>'Kerugian Ekonomi'!M54</f>
        <v>-10.163481381820102</v>
      </c>
      <c r="F11" s="12">
        <f>'Kerugian Ekonomi'!O54</f>
        <v>-8.9257987587590666</v>
      </c>
    </row>
    <row r="12" spans="1:7">
      <c r="A12" s="170" t="s">
        <v>366</v>
      </c>
      <c r="B12" s="171">
        <f>'Kerugian Ekonomi'!G57</f>
        <v>-19.023572972285784</v>
      </c>
      <c r="C12" s="171">
        <f>'Kerugian Ekonomi'!I57</f>
        <v>-18.699830672472181</v>
      </c>
      <c r="D12" s="171">
        <f>'Kerugian Ekonomi'!K57</f>
        <v>-13.932915622389308</v>
      </c>
      <c r="E12" s="171">
        <f>'Kerugian Ekonomi'!M57</f>
        <v>-8.9346010363307435</v>
      </c>
      <c r="F12" s="171">
        <f>'Kerugian Ekonomi'!O57</f>
        <v>-7.3597824031260561</v>
      </c>
      <c r="G12" s="118"/>
    </row>
    <row r="13" spans="1:7">
      <c r="A13" s="170" t="s">
        <v>367</v>
      </c>
      <c r="B13" s="171">
        <f>'Kerugian Ekonomi'!G60</f>
        <v>-37.819841142188245</v>
      </c>
      <c r="C13" s="171">
        <f>'Kerugian Ekonomi'!I60</f>
        <v>-34.600876813400923</v>
      </c>
      <c r="D13" s="171">
        <f>'Kerugian Ekonomi'!K60</f>
        <v>-32.587888801300089</v>
      </c>
      <c r="E13" s="171">
        <f>'Kerugian Ekonomi'!M60</f>
        <v>-13.481738780523539</v>
      </c>
      <c r="F13" s="171">
        <f>'Kerugian Ekonomi'!O60</f>
        <v>-7.7931048273903416</v>
      </c>
      <c r="G13" s="118"/>
    </row>
    <row r="14" spans="1:7">
      <c r="A14" s="169"/>
      <c r="B14" s="118"/>
      <c r="C14" s="118"/>
      <c r="D14" s="118"/>
      <c r="E14" s="118"/>
      <c r="F14" s="118"/>
      <c r="G14" s="118"/>
    </row>
    <row r="15" spans="1:7">
      <c r="A15" s="169"/>
      <c r="B15" s="118"/>
      <c r="C15" s="118"/>
      <c r="D15" s="118"/>
      <c r="E15" s="118"/>
      <c r="F15" s="118"/>
      <c r="G15" s="118"/>
    </row>
    <row r="16" spans="1:7">
      <c r="A16" s="169"/>
      <c r="B16" s="118"/>
      <c r="C16" s="118"/>
      <c r="D16" s="118"/>
      <c r="E16" s="118"/>
      <c r="F16" s="118"/>
      <c r="G16" s="118"/>
    </row>
  </sheetData>
  <mergeCells count="2">
    <mergeCell ref="B4:F4"/>
    <mergeCell ref="A4:A5"/>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Tabulasi Data Responden</vt:lpstr>
      <vt:lpstr>Informasi Umum Responden</vt:lpstr>
      <vt:lpstr>Pengetahuan &amp; Persepsi</vt:lpstr>
      <vt:lpstr>Tabulasi Kerugian Ekonomi</vt:lpstr>
      <vt:lpstr>Kerugian Ekonomi</vt:lpstr>
      <vt:lpstr>Grafik Kerugian Ekonomi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dc:creator>
  <cp:lastModifiedBy>Andi</cp:lastModifiedBy>
  <cp:lastPrinted>2019-12-18T00:52:18Z</cp:lastPrinted>
  <dcterms:created xsi:type="dcterms:W3CDTF">2019-12-14T13:15:14Z</dcterms:created>
  <dcterms:modified xsi:type="dcterms:W3CDTF">2020-03-03T16:31:56Z</dcterms:modified>
</cp:coreProperties>
</file>