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ba\Documents\OTW WISUDA\"/>
    </mc:Choice>
  </mc:AlternateContent>
  <xr:revisionPtr revIDLastSave="0" documentId="13_ncr:1_{27197F58-12B1-48E7-B2E3-C7D803D40538}" xr6:coauthVersionLast="47" xr6:coauthVersionMax="47" xr10:uidLastSave="{00000000-0000-0000-0000-000000000000}"/>
  <bookViews>
    <workbookView xWindow="11628" yWindow="0" windowWidth="11412" windowHeight="12360" firstSheet="2" activeTab="2" xr2:uid="{BE06C42E-AE2F-438E-936C-DE59802B2A73}"/>
  </bookViews>
  <sheets>
    <sheet name="Management Pakan" sheetId="7" r:id="rId1"/>
    <sheet name="Padat Tebar dan Panen" sheetId="11" r:id="rId2"/>
    <sheet name="Data Analisis Finansial" sheetId="5" r:id="rId3"/>
    <sheet name="Management Kualitas Air" sheetId="10" r:id="rId4"/>
    <sheet name="Perhitungan Kualitas Air" sheetId="13" r:id="rId5"/>
    <sheet name="Data Sampling" sheetId="12" r:id="rId6"/>
    <sheet name="lembar hitung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5" l="1"/>
  <c r="O31" i="5"/>
  <c r="J64" i="5"/>
  <c r="AA12" i="7"/>
  <c r="AA3" i="7"/>
  <c r="AA4" i="7"/>
  <c r="AA5" i="7"/>
  <c r="AA6" i="7"/>
  <c r="AA7" i="7"/>
  <c r="AA8" i="7"/>
  <c r="AA9" i="7"/>
  <c r="AA10" i="7"/>
  <c r="AA11" i="7"/>
  <c r="AA2" i="7"/>
  <c r="AL26" i="7"/>
  <c r="I70" i="5"/>
  <c r="Q40" i="5"/>
  <c r="AJ88" i="7"/>
  <c r="AI88" i="7"/>
  <c r="AH88" i="7"/>
  <c r="AJ79" i="7"/>
  <c r="AJ80" i="7"/>
  <c r="AJ81" i="7"/>
  <c r="AJ82" i="7"/>
  <c r="AJ83" i="7"/>
  <c r="AJ84" i="7"/>
  <c r="AJ85" i="7"/>
  <c r="AJ86" i="7"/>
  <c r="AJ87" i="7"/>
  <c r="AJ78" i="7"/>
  <c r="AJ74" i="7"/>
  <c r="AI74" i="7"/>
  <c r="AH74" i="7"/>
  <c r="AI44" i="7"/>
  <c r="AH79" i="7"/>
  <c r="AH80" i="7"/>
  <c r="AH81" i="7"/>
  <c r="AH82" i="7"/>
  <c r="AH83" i="7"/>
  <c r="AH84" i="7"/>
  <c r="AH85" i="7"/>
  <c r="AH86" i="7"/>
  <c r="AH87" i="7"/>
  <c r="AH78" i="7"/>
  <c r="AJ73" i="7"/>
  <c r="AJ65" i="7"/>
  <c r="AJ66" i="7"/>
  <c r="AJ67" i="7"/>
  <c r="AJ68" i="7"/>
  <c r="AJ69" i="7"/>
  <c r="AJ70" i="7"/>
  <c r="AJ71" i="7"/>
  <c r="AJ72" i="7"/>
  <c r="AJ64" i="7"/>
  <c r="AH65" i="7"/>
  <c r="AH66" i="7"/>
  <c r="AH67" i="7"/>
  <c r="AH68" i="7"/>
  <c r="AH69" i="7"/>
  <c r="AH70" i="7"/>
  <c r="AH71" i="7"/>
  <c r="AH72" i="7"/>
  <c r="AH73" i="7"/>
  <c r="AH64" i="7"/>
  <c r="AI60" i="7"/>
  <c r="AH60" i="7"/>
  <c r="AJ51" i="7"/>
  <c r="AJ52" i="7"/>
  <c r="AJ53" i="7"/>
  <c r="AJ54" i="7"/>
  <c r="AJ55" i="7"/>
  <c r="AJ56" i="7"/>
  <c r="AJ57" i="7"/>
  <c r="AJ58" i="7"/>
  <c r="AJ59" i="7"/>
  <c r="AJ50" i="7"/>
  <c r="AH51" i="7"/>
  <c r="AH52" i="7"/>
  <c r="AH53" i="7"/>
  <c r="AH54" i="7"/>
  <c r="AH55" i="7"/>
  <c r="AH56" i="7"/>
  <c r="AH57" i="7"/>
  <c r="AH58" i="7"/>
  <c r="AH59" i="7"/>
  <c r="AH50" i="7"/>
  <c r="AG51" i="7"/>
  <c r="AG52" i="7"/>
  <c r="AG53" i="7"/>
  <c r="AG54" i="7"/>
  <c r="AG55" i="7"/>
  <c r="AG56" i="7"/>
  <c r="AG57" i="7"/>
  <c r="AG58" i="7"/>
  <c r="AG59" i="7"/>
  <c r="AG50" i="7"/>
  <c r="AJ35" i="7"/>
  <c r="AJ36" i="7"/>
  <c r="AJ37" i="7"/>
  <c r="AJ38" i="7"/>
  <c r="AJ39" i="7"/>
  <c r="AJ40" i="7"/>
  <c r="AJ41" i="7"/>
  <c r="AJ42" i="7"/>
  <c r="AJ43" i="7"/>
  <c r="AJ34" i="7"/>
  <c r="AC58" i="7"/>
  <c r="AC59" i="7"/>
  <c r="AD58" i="7"/>
  <c r="AD59" i="7"/>
  <c r="AC60" i="7"/>
  <c r="AD60" i="7" s="1"/>
  <c r="AH44" i="7"/>
  <c r="AD63" i="7"/>
  <c r="AD64" i="7"/>
  <c r="AD67" i="7"/>
  <c r="AC61" i="7"/>
  <c r="AD61" i="7" s="1"/>
  <c r="AC62" i="7"/>
  <c r="AD62" i="7" s="1"/>
  <c r="AC63" i="7"/>
  <c r="AC64" i="7"/>
  <c r="AC65" i="7"/>
  <c r="AD65" i="7" s="1"/>
  <c r="AC66" i="7"/>
  <c r="AD66" i="7" s="1"/>
  <c r="AC67" i="7"/>
  <c r="AB59" i="7"/>
  <c r="AB60" i="7"/>
  <c r="AB61" i="7"/>
  <c r="AB62" i="7"/>
  <c r="AB63" i="7"/>
  <c r="AB64" i="7"/>
  <c r="AB65" i="7"/>
  <c r="AB66" i="7"/>
  <c r="AB67" i="7"/>
  <c r="AB58" i="7"/>
  <c r="AH35" i="7"/>
  <c r="AH36" i="7"/>
  <c r="AH37" i="7"/>
  <c r="AH38" i="7"/>
  <c r="AH39" i="7"/>
  <c r="AH40" i="7"/>
  <c r="AH41" i="7"/>
  <c r="AH42" i="7"/>
  <c r="AH43" i="7"/>
  <c r="AH34" i="7"/>
  <c r="J37" i="11"/>
  <c r="F37" i="11" s="1"/>
  <c r="BJ232" i="10"/>
  <c r="BC232" i="10"/>
  <c r="BE232" i="10"/>
  <c r="BG232" i="10"/>
  <c r="BI232" i="10"/>
  <c r="J50" i="11"/>
  <c r="J51" i="11"/>
  <c r="J52" i="11"/>
  <c r="J53" i="11"/>
  <c r="F53" i="11" s="1"/>
  <c r="J54" i="11"/>
  <c r="J55" i="11"/>
  <c r="J56" i="11"/>
  <c r="J57" i="11"/>
  <c r="F57" i="11" s="1"/>
  <c r="J58" i="11"/>
  <c r="J49" i="11"/>
  <c r="AL16" i="7"/>
  <c r="AL17" i="7"/>
  <c r="AL18" i="7"/>
  <c r="AL19" i="7"/>
  <c r="AL20" i="7"/>
  <c r="AL21" i="7"/>
  <c r="AL22" i="7"/>
  <c r="AL23" i="7"/>
  <c r="AL24" i="7"/>
  <c r="AL15" i="7"/>
  <c r="AL3" i="7"/>
  <c r="AL4" i="7"/>
  <c r="AL5" i="7"/>
  <c r="AL6" i="7"/>
  <c r="AL7" i="7"/>
  <c r="AL8" i="7"/>
  <c r="AL9" i="7"/>
  <c r="AL10" i="7"/>
  <c r="AL11" i="7"/>
  <c r="AL2" i="7"/>
  <c r="Z55" i="7"/>
  <c r="Z56" i="7"/>
  <c r="Z57" i="7"/>
  <c r="Z58" i="7"/>
  <c r="Z59" i="7"/>
  <c r="Z60" i="7"/>
  <c r="Z61" i="7"/>
  <c r="Z62" i="7"/>
  <c r="Z63" i="7"/>
  <c r="Z54" i="7"/>
  <c r="Z81" i="7"/>
  <c r="Z82" i="7"/>
  <c r="Z83" i="7"/>
  <c r="Z84" i="7"/>
  <c r="Z85" i="7"/>
  <c r="Z86" i="7"/>
  <c r="Z87" i="7"/>
  <c r="Z88" i="7"/>
  <c r="Z89" i="7"/>
  <c r="Z80" i="7"/>
  <c r="Z68" i="7"/>
  <c r="Z69" i="7"/>
  <c r="Z70" i="7"/>
  <c r="Z71" i="7"/>
  <c r="Z72" i="7"/>
  <c r="Z73" i="7"/>
  <c r="Z74" i="7"/>
  <c r="Z75" i="7"/>
  <c r="Z76" i="7"/>
  <c r="Z67" i="7"/>
  <c r="Z29" i="7"/>
  <c r="Z30" i="7"/>
  <c r="Z31" i="7"/>
  <c r="Z32" i="7"/>
  <c r="Z33" i="7"/>
  <c r="Z34" i="7"/>
  <c r="Z35" i="7"/>
  <c r="Z36" i="7"/>
  <c r="Z37" i="7"/>
  <c r="Z28" i="7"/>
  <c r="Z16" i="7"/>
  <c r="Z17" i="7"/>
  <c r="Z18" i="7"/>
  <c r="Z19" i="7"/>
  <c r="Z20" i="7"/>
  <c r="Z21" i="7"/>
  <c r="Z22" i="7"/>
  <c r="Z23" i="7"/>
  <c r="Z24" i="7"/>
  <c r="Z15" i="7"/>
  <c r="Z3" i="7"/>
  <c r="Z4" i="7"/>
  <c r="Z5" i="7"/>
  <c r="Z6" i="7"/>
  <c r="Z7" i="7"/>
  <c r="Z8" i="7"/>
  <c r="Z9" i="7"/>
  <c r="Z10" i="7"/>
  <c r="Z11" i="7"/>
  <c r="Z2" i="7"/>
  <c r="Z42" i="7"/>
  <c r="Z43" i="7"/>
  <c r="Z44" i="7"/>
  <c r="Z45" i="7"/>
  <c r="Z46" i="7"/>
  <c r="Z47" i="7"/>
  <c r="Z48" i="7"/>
  <c r="Z49" i="7"/>
  <c r="Z50" i="7"/>
  <c r="Z41" i="7"/>
  <c r="Y31" i="7"/>
  <c r="X31" i="7" s="1"/>
  <c r="Y35" i="7"/>
  <c r="X35" i="7" s="1"/>
  <c r="Y19" i="7"/>
  <c r="AJ16" i="7"/>
  <c r="AJ17" i="7"/>
  <c r="AJ18" i="7"/>
  <c r="AJ19" i="7"/>
  <c r="AJ20" i="7"/>
  <c r="AJ21" i="7"/>
  <c r="AJ23" i="7"/>
  <c r="AJ24" i="7"/>
  <c r="AJ15" i="7"/>
  <c r="AK16" i="7"/>
  <c r="AK17" i="7"/>
  <c r="AK18" i="7"/>
  <c r="AK19" i="7"/>
  <c r="AK20" i="7"/>
  <c r="AK21" i="7"/>
  <c r="AK22" i="7"/>
  <c r="AK23" i="7"/>
  <c r="AK24" i="7"/>
  <c r="AK15" i="7"/>
  <c r="AJ3" i="7"/>
  <c r="AJ4" i="7"/>
  <c r="AJ5" i="7"/>
  <c r="AJ6" i="7"/>
  <c r="AJ7" i="7"/>
  <c r="AJ8" i="7"/>
  <c r="AJ9" i="7"/>
  <c r="AJ10" i="7"/>
  <c r="AJ11" i="7"/>
  <c r="AJ2" i="7"/>
  <c r="AK3" i="7"/>
  <c r="AK4" i="7"/>
  <c r="AK5" i="7"/>
  <c r="AK6" i="7"/>
  <c r="AK7" i="7"/>
  <c r="AK8" i="7"/>
  <c r="AK9" i="7"/>
  <c r="AK10" i="7"/>
  <c r="AK11" i="7"/>
  <c r="AK2" i="7"/>
  <c r="X81" i="7"/>
  <c r="X82" i="7"/>
  <c r="X83" i="7"/>
  <c r="X84" i="7"/>
  <c r="X85" i="7"/>
  <c r="X86" i="7"/>
  <c r="X87" i="7"/>
  <c r="X88" i="7"/>
  <c r="X89" i="7"/>
  <c r="X80" i="7"/>
  <c r="Y81" i="7"/>
  <c r="Y82" i="7"/>
  <c r="Y83" i="7"/>
  <c r="Y84" i="7"/>
  <c r="Y85" i="7"/>
  <c r="Y86" i="7"/>
  <c r="Y87" i="7"/>
  <c r="Y88" i="7"/>
  <c r="Y89" i="7"/>
  <c r="Y80" i="7"/>
  <c r="X68" i="7"/>
  <c r="X69" i="7"/>
  <c r="X70" i="7"/>
  <c r="X71" i="7"/>
  <c r="X72" i="7"/>
  <c r="X73" i="7"/>
  <c r="X74" i="7"/>
  <c r="X75" i="7"/>
  <c r="X76" i="7"/>
  <c r="X67" i="7"/>
  <c r="Y68" i="7"/>
  <c r="Y69" i="7"/>
  <c r="Y70" i="7"/>
  <c r="Y71" i="7"/>
  <c r="Y72" i="7"/>
  <c r="Y73" i="7"/>
  <c r="Y74" i="7"/>
  <c r="Y75" i="7"/>
  <c r="Y76" i="7"/>
  <c r="Y67" i="7"/>
  <c r="X55" i="7"/>
  <c r="X56" i="7"/>
  <c r="X57" i="7"/>
  <c r="X58" i="7"/>
  <c r="X59" i="7"/>
  <c r="X60" i="7"/>
  <c r="X61" i="7"/>
  <c r="X62" i="7"/>
  <c r="X63" i="7"/>
  <c r="X54" i="7"/>
  <c r="Y55" i="7"/>
  <c r="Y56" i="7"/>
  <c r="Y57" i="7"/>
  <c r="Y58" i="7"/>
  <c r="Y59" i="7"/>
  <c r="Y60" i="7"/>
  <c r="Y61" i="7"/>
  <c r="Y62" i="7"/>
  <c r="Y63" i="7"/>
  <c r="Y54" i="7"/>
  <c r="X42" i="7"/>
  <c r="X43" i="7"/>
  <c r="X44" i="7"/>
  <c r="X45" i="7"/>
  <c r="X46" i="7"/>
  <c r="X47" i="7"/>
  <c r="X48" i="7"/>
  <c r="X49" i="7"/>
  <c r="X50" i="7"/>
  <c r="X41" i="7"/>
  <c r="Y42" i="7"/>
  <c r="Y43" i="7"/>
  <c r="Y44" i="7"/>
  <c r="Y45" i="7"/>
  <c r="Y46" i="7"/>
  <c r="Y47" i="7"/>
  <c r="Y48" i="7"/>
  <c r="Y49" i="7"/>
  <c r="Y50" i="7"/>
  <c r="Y41" i="7"/>
  <c r="Y29" i="7"/>
  <c r="X29" i="7" s="1"/>
  <c r="Y30" i="7"/>
  <c r="X30" i="7" s="1"/>
  <c r="Y33" i="7"/>
  <c r="X33" i="7" s="1"/>
  <c r="Y34" i="7"/>
  <c r="X34" i="7" s="1"/>
  <c r="Y37" i="7"/>
  <c r="X37" i="7" s="1"/>
  <c r="Y28" i="7"/>
  <c r="X28" i="7" s="1"/>
  <c r="X17" i="7"/>
  <c r="Y16" i="7"/>
  <c r="X16" i="7" s="1"/>
  <c r="Y17" i="7"/>
  <c r="Y20" i="7"/>
  <c r="X20" i="7" s="1"/>
  <c r="Y21" i="7"/>
  <c r="X21" i="7" s="1"/>
  <c r="Y24" i="7"/>
  <c r="X24" i="7" s="1"/>
  <c r="Y15" i="7"/>
  <c r="X15" i="7" s="1"/>
  <c r="X3" i="7"/>
  <c r="X4" i="7"/>
  <c r="X5" i="7"/>
  <c r="X6" i="7"/>
  <c r="X7" i="7"/>
  <c r="X8" i="7"/>
  <c r="X9" i="7"/>
  <c r="X10" i="7"/>
  <c r="X11" i="7"/>
  <c r="Y3" i="7"/>
  <c r="Y4" i="7"/>
  <c r="Y5" i="7"/>
  <c r="Y6" i="7"/>
  <c r="Y7" i="7"/>
  <c r="Y8" i="7"/>
  <c r="Y9" i="7"/>
  <c r="Y10" i="7"/>
  <c r="Y11" i="7"/>
  <c r="X2" i="7"/>
  <c r="Y2" i="7"/>
  <c r="E7" i="12"/>
  <c r="E6" i="12"/>
  <c r="E5" i="12"/>
  <c r="F7" i="12"/>
  <c r="H7" i="12" s="1"/>
  <c r="E4" i="12"/>
  <c r="F6" i="12"/>
  <c r="H6" i="12" s="1"/>
  <c r="E8" i="12"/>
  <c r="E9" i="12"/>
  <c r="E10" i="12"/>
  <c r="E11" i="12"/>
  <c r="F11" i="12" s="1"/>
  <c r="H11" i="12" s="1"/>
  <c r="E12" i="12"/>
  <c r="F10" i="12"/>
  <c r="H10" i="12" s="1"/>
  <c r="E3" i="12"/>
  <c r="F3" i="12" s="1"/>
  <c r="C35" i="11"/>
  <c r="C44" i="11" s="1"/>
  <c r="C36" i="11"/>
  <c r="C37" i="11"/>
  <c r="C38" i="11"/>
  <c r="C39" i="11"/>
  <c r="C40" i="11"/>
  <c r="C41" i="11"/>
  <c r="C42" i="11"/>
  <c r="C43" i="11"/>
  <c r="C34" i="11"/>
  <c r="F4" i="12"/>
  <c r="H4" i="12" s="1"/>
  <c r="F5" i="12"/>
  <c r="H5" i="12" s="1"/>
  <c r="F8" i="12"/>
  <c r="H8" i="12" s="1"/>
  <c r="F9" i="12"/>
  <c r="H9" i="12" s="1"/>
  <c r="F12" i="12"/>
  <c r="I44" i="11"/>
  <c r="F20" i="11"/>
  <c r="F21" i="11"/>
  <c r="F22" i="11"/>
  <c r="F23" i="11"/>
  <c r="F24" i="11"/>
  <c r="F25" i="11"/>
  <c r="F26" i="11"/>
  <c r="F27" i="11"/>
  <c r="F28" i="11"/>
  <c r="C50" i="11"/>
  <c r="C51" i="11"/>
  <c r="C52" i="11"/>
  <c r="C53" i="11"/>
  <c r="C54" i="11"/>
  <c r="C55" i="11"/>
  <c r="C56" i="11"/>
  <c r="C57" i="11"/>
  <c r="C58" i="11"/>
  <c r="C49" i="11"/>
  <c r="D59" i="11"/>
  <c r="G59" i="11"/>
  <c r="F50" i="11"/>
  <c r="F51" i="11"/>
  <c r="F52" i="11"/>
  <c r="F54" i="11"/>
  <c r="F55" i="11"/>
  <c r="F56" i="11"/>
  <c r="F58" i="11"/>
  <c r="F49" i="11"/>
  <c r="G38" i="11"/>
  <c r="F42" i="11"/>
  <c r="D44" i="11"/>
  <c r="J29" i="11"/>
  <c r="F6" i="11"/>
  <c r="F7" i="11"/>
  <c r="F8" i="11"/>
  <c r="F9" i="11"/>
  <c r="F10" i="11"/>
  <c r="F11" i="11"/>
  <c r="F12" i="11"/>
  <c r="F13" i="11"/>
  <c r="J5" i="11"/>
  <c r="F5" i="11" s="1"/>
  <c r="J19" i="11"/>
  <c r="F19" i="11" s="1"/>
  <c r="J42" i="11"/>
  <c r="J43" i="11"/>
  <c r="F43" i="11" s="1"/>
  <c r="J38" i="11"/>
  <c r="J39" i="11"/>
  <c r="F39" i="11" s="1"/>
  <c r="J40" i="11"/>
  <c r="F40" i="11" s="1"/>
  <c r="J41" i="11"/>
  <c r="F41" i="11" s="1"/>
  <c r="J36" i="11"/>
  <c r="F36" i="11" s="1"/>
  <c r="J35" i="11"/>
  <c r="F35" i="11" s="1"/>
  <c r="J34" i="11"/>
  <c r="F34" i="11" s="1"/>
  <c r="D9" i="11"/>
  <c r="D10" i="11"/>
  <c r="D11" i="11"/>
  <c r="C11" i="11" s="1"/>
  <c r="D12" i="11"/>
  <c r="D13" i="11"/>
  <c r="D5" i="11"/>
  <c r="D6" i="11"/>
  <c r="D7" i="11"/>
  <c r="C7" i="11" s="1"/>
  <c r="D8" i="11"/>
  <c r="D4" i="11"/>
  <c r="J4" i="11" s="1"/>
  <c r="D29" i="11"/>
  <c r="C10" i="11"/>
  <c r="BL53" i="10"/>
  <c r="BL54" i="10"/>
  <c r="BL55" i="10"/>
  <c r="BL56" i="10"/>
  <c r="BL57" i="10"/>
  <c r="BL58" i="10"/>
  <c r="BL59" i="10"/>
  <c r="BL60" i="10"/>
  <c r="BL61" i="10"/>
  <c r="BL62" i="10"/>
  <c r="BL63" i="10"/>
  <c r="BL64" i="10"/>
  <c r="BL65" i="10"/>
  <c r="BL66" i="10"/>
  <c r="BL67" i="10"/>
  <c r="BL68" i="10"/>
  <c r="BL69" i="10"/>
  <c r="BL70" i="10"/>
  <c r="BL71" i="10"/>
  <c r="BL72" i="10"/>
  <c r="BL73" i="10"/>
  <c r="BL74" i="10"/>
  <c r="BL75" i="10"/>
  <c r="BL76" i="10"/>
  <c r="BL77" i="10"/>
  <c r="BL78" i="10"/>
  <c r="BL79" i="10"/>
  <c r="BL80" i="10"/>
  <c r="BL81" i="10"/>
  <c r="BL82" i="10"/>
  <c r="BL83" i="10"/>
  <c r="BL84" i="10"/>
  <c r="BL85" i="10"/>
  <c r="BL86" i="10"/>
  <c r="BL87" i="10"/>
  <c r="E24" i="5"/>
  <c r="F24" i="5" s="1"/>
  <c r="G24" i="5" s="1"/>
  <c r="I24" i="5" s="1"/>
  <c r="G39" i="5"/>
  <c r="Q114" i="10"/>
  <c r="R114" i="10"/>
  <c r="S114" i="10"/>
  <c r="T114" i="10"/>
  <c r="U114" i="10"/>
  <c r="V114" i="10"/>
  <c r="W114" i="10"/>
  <c r="Q115" i="10"/>
  <c r="R115" i="10"/>
  <c r="S115" i="10"/>
  <c r="T115" i="10"/>
  <c r="V115" i="10"/>
  <c r="W115" i="10"/>
  <c r="Q109" i="10"/>
  <c r="R109" i="10"/>
  <c r="S109" i="10"/>
  <c r="T109" i="10"/>
  <c r="U109" i="10"/>
  <c r="V109" i="10"/>
  <c r="W109" i="10"/>
  <c r="Q110" i="10"/>
  <c r="R110" i="10"/>
  <c r="S110" i="10"/>
  <c r="T110" i="10"/>
  <c r="U110" i="10"/>
  <c r="V110" i="10"/>
  <c r="W110" i="10"/>
  <c r="Q111" i="10"/>
  <c r="R111" i="10"/>
  <c r="S111" i="10"/>
  <c r="T111" i="10"/>
  <c r="U111" i="10"/>
  <c r="V111" i="10"/>
  <c r="W111" i="10"/>
  <c r="Q112" i="10"/>
  <c r="R112" i="10"/>
  <c r="S112" i="10"/>
  <c r="T112" i="10"/>
  <c r="V112" i="10"/>
  <c r="W112" i="10"/>
  <c r="Q113" i="10"/>
  <c r="R113" i="10"/>
  <c r="S113" i="10"/>
  <c r="T113" i="10"/>
  <c r="U113" i="10"/>
  <c r="V113" i="10"/>
  <c r="W113" i="10"/>
  <c r="W108" i="10"/>
  <c r="V108" i="10"/>
  <c r="U108" i="10"/>
  <c r="T108" i="10"/>
  <c r="S108" i="10"/>
  <c r="R108" i="10"/>
  <c r="Q108" i="10"/>
  <c r="W107" i="10"/>
  <c r="V107" i="10"/>
  <c r="U107" i="10"/>
  <c r="T107" i="10"/>
  <c r="S107" i="10"/>
  <c r="R107" i="10"/>
  <c r="Q107" i="10"/>
  <c r="W106" i="10"/>
  <c r="V106" i="10"/>
  <c r="U106" i="10"/>
  <c r="T106" i="10"/>
  <c r="S106" i="10"/>
  <c r="R106" i="10"/>
  <c r="Q106" i="10"/>
  <c r="B50" i="13"/>
  <c r="B43" i="13"/>
  <c r="B36" i="13"/>
  <c r="B28" i="13"/>
  <c r="B21" i="13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" i="2"/>
  <c r="A2" i="2"/>
  <c r="A3" i="2"/>
  <c r="G1" i="2"/>
  <c r="C20" i="11"/>
  <c r="C21" i="11"/>
  <c r="C22" i="11"/>
  <c r="C23" i="11"/>
  <c r="C24" i="11"/>
  <c r="C25" i="11"/>
  <c r="C26" i="11"/>
  <c r="C27" i="11"/>
  <c r="C28" i="11"/>
  <c r="C29" i="11"/>
  <c r="C19" i="11"/>
  <c r="F61" i="5"/>
  <c r="F60" i="5"/>
  <c r="G14" i="11"/>
  <c r="AD37" i="12"/>
  <c r="AD35" i="12"/>
  <c r="AD36" i="12"/>
  <c r="AD38" i="12"/>
  <c r="AD34" i="12"/>
  <c r="AD30" i="12"/>
  <c r="AD31" i="12"/>
  <c r="AD32" i="12"/>
  <c r="AD33" i="12"/>
  <c r="AD29" i="12"/>
  <c r="D3" i="12"/>
  <c r="D4" i="12"/>
  <c r="H12" i="12"/>
  <c r="F59" i="5"/>
  <c r="P32" i="12"/>
  <c r="P25" i="12"/>
  <c r="P38" i="12" s="1"/>
  <c r="P24" i="12"/>
  <c r="P37" i="12" s="1"/>
  <c r="P23" i="12"/>
  <c r="P36" i="12" s="1"/>
  <c r="P22" i="12"/>
  <c r="P35" i="12" s="1"/>
  <c r="P21" i="12"/>
  <c r="P34" i="12" s="1"/>
  <c r="P20" i="12"/>
  <c r="P33" i="12" s="1"/>
  <c r="P19" i="12"/>
  <c r="P18" i="12"/>
  <c r="P31" i="12" s="1"/>
  <c r="P17" i="12"/>
  <c r="P30" i="12" s="1"/>
  <c r="P16" i="12"/>
  <c r="P29" i="12" s="1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I75" i="7"/>
  <c r="E75" i="7" s="1"/>
  <c r="I76" i="7"/>
  <c r="E76" i="7" s="1"/>
  <c r="I77" i="7"/>
  <c r="E77" i="7" s="1"/>
  <c r="I78" i="7"/>
  <c r="E78" i="7" s="1"/>
  <c r="I79" i="7"/>
  <c r="E79" i="7" s="1"/>
  <c r="I80" i="7"/>
  <c r="E80" i="7" s="1"/>
  <c r="I81" i="7"/>
  <c r="E81" i="7" s="1"/>
  <c r="I82" i="7"/>
  <c r="E82" i="7" s="1"/>
  <c r="I83" i="7"/>
  <c r="E83" i="7" s="1"/>
  <c r="I84" i="7"/>
  <c r="E84" i="7" s="1"/>
  <c r="I85" i="7"/>
  <c r="E85" i="7" s="1"/>
  <c r="I86" i="7"/>
  <c r="E86" i="7" s="1"/>
  <c r="I87" i="7"/>
  <c r="E87" i="7" s="1"/>
  <c r="D74" i="7"/>
  <c r="F74" i="7"/>
  <c r="G74" i="7"/>
  <c r="H74" i="7"/>
  <c r="I74" i="7"/>
  <c r="E74" i="7" s="1"/>
  <c r="D65" i="7"/>
  <c r="D66" i="7"/>
  <c r="D67" i="7"/>
  <c r="D68" i="7"/>
  <c r="D69" i="7"/>
  <c r="D70" i="7"/>
  <c r="D71" i="7"/>
  <c r="D72" i="7"/>
  <c r="D73" i="7"/>
  <c r="F65" i="7"/>
  <c r="F66" i="7"/>
  <c r="F67" i="7"/>
  <c r="F68" i="7"/>
  <c r="F69" i="7"/>
  <c r="F70" i="7"/>
  <c r="F71" i="7"/>
  <c r="F72" i="7"/>
  <c r="F73" i="7"/>
  <c r="G65" i="7"/>
  <c r="G66" i="7"/>
  <c r="G67" i="7"/>
  <c r="G68" i="7"/>
  <c r="G69" i="7"/>
  <c r="G70" i="7"/>
  <c r="G71" i="7"/>
  <c r="G72" i="7"/>
  <c r="G73" i="7"/>
  <c r="H65" i="7"/>
  <c r="H66" i="7"/>
  <c r="H67" i="7"/>
  <c r="H68" i="7"/>
  <c r="H69" i="7"/>
  <c r="H70" i="7"/>
  <c r="H71" i="7"/>
  <c r="H72" i="7"/>
  <c r="H73" i="7"/>
  <c r="I65" i="7"/>
  <c r="E65" i="7" s="1"/>
  <c r="I66" i="7"/>
  <c r="E66" i="7" s="1"/>
  <c r="I67" i="7"/>
  <c r="E67" i="7" s="1"/>
  <c r="I68" i="7"/>
  <c r="E68" i="7" s="1"/>
  <c r="I69" i="7"/>
  <c r="E69" i="7" s="1"/>
  <c r="I70" i="7"/>
  <c r="E70" i="7" s="1"/>
  <c r="I71" i="7"/>
  <c r="E71" i="7" s="1"/>
  <c r="I72" i="7"/>
  <c r="E72" i="7" s="1"/>
  <c r="I73" i="7"/>
  <c r="E73" i="7" s="1"/>
  <c r="D64" i="7"/>
  <c r="F64" i="7"/>
  <c r="G64" i="7"/>
  <c r="H64" i="7"/>
  <c r="I64" i="7"/>
  <c r="E64" i="7" s="1"/>
  <c r="D55" i="7"/>
  <c r="D56" i="7"/>
  <c r="D57" i="7"/>
  <c r="D58" i="7"/>
  <c r="D59" i="7"/>
  <c r="D60" i="7"/>
  <c r="E55" i="7"/>
  <c r="E56" i="7"/>
  <c r="E57" i="7"/>
  <c r="E58" i="7"/>
  <c r="E59" i="7"/>
  <c r="E60" i="7"/>
  <c r="F55" i="7"/>
  <c r="F56" i="7"/>
  <c r="F57" i="7"/>
  <c r="F58" i="7"/>
  <c r="F59" i="7"/>
  <c r="F60" i="7"/>
  <c r="G55" i="7"/>
  <c r="G56" i="7"/>
  <c r="G57" i="7"/>
  <c r="G58" i="7"/>
  <c r="G59" i="7"/>
  <c r="G60" i="7"/>
  <c r="I55" i="7"/>
  <c r="H55" i="7" s="1"/>
  <c r="I56" i="7"/>
  <c r="H56" i="7" s="1"/>
  <c r="I57" i="7"/>
  <c r="H57" i="7" s="1"/>
  <c r="I58" i="7"/>
  <c r="H58" i="7" s="1"/>
  <c r="I59" i="7"/>
  <c r="H59" i="7" s="1"/>
  <c r="I60" i="7"/>
  <c r="H60" i="7" s="1"/>
  <c r="D54" i="7"/>
  <c r="E54" i="7"/>
  <c r="F54" i="7"/>
  <c r="G54" i="7"/>
  <c r="I54" i="7"/>
  <c r="H54" i="7" s="1"/>
  <c r="D17" i="12"/>
  <c r="D5" i="12"/>
  <c r="D18" i="12" s="1"/>
  <c r="D6" i="12"/>
  <c r="D19" i="12" s="1"/>
  <c r="I19" i="12" s="1"/>
  <c r="D7" i="12"/>
  <c r="D20" i="12" s="1"/>
  <c r="D8" i="12"/>
  <c r="I8" i="12" s="1"/>
  <c r="D9" i="12"/>
  <c r="I9" i="12" s="1"/>
  <c r="D10" i="12"/>
  <c r="D23" i="12" s="1"/>
  <c r="I23" i="12" s="1"/>
  <c r="D11" i="12"/>
  <c r="D24" i="12" s="1"/>
  <c r="D12" i="12"/>
  <c r="G32" i="2"/>
  <c r="G33" i="2"/>
  <c r="G34" i="2"/>
  <c r="G35" i="2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1" i="2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1" i="2"/>
  <c r="CP54" i="10"/>
  <c r="CP55" i="10"/>
  <c r="CP56" i="10"/>
  <c r="CP57" i="10"/>
  <c r="CP58" i="10"/>
  <c r="CP59" i="10"/>
  <c r="CP60" i="10"/>
  <c r="CP61" i="10"/>
  <c r="CP62" i="10"/>
  <c r="CP63" i="10"/>
  <c r="CP64" i="10"/>
  <c r="CP65" i="10"/>
  <c r="CP66" i="10"/>
  <c r="CP67" i="10"/>
  <c r="CP68" i="10"/>
  <c r="CP69" i="10"/>
  <c r="CP70" i="10"/>
  <c r="CP71" i="10"/>
  <c r="CP72" i="10"/>
  <c r="CP73" i="10"/>
  <c r="CP74" i="10"/>
  <c r="CP75" i="10"/>
  <c r="CP76" i="10"/>
  <c r="CP77" i="10"/>
  <c r="CP78" i="10"/>
  <c r="CP79" i="10"/>
  <c r="CP80" i="10"/>
  <c r="CP81" i="10"/>
  <c r="CP82" i="10"/>
  <c r="CP83" i="10"/>
  <c r="CP84" i="10"/>
  <c r="CP85" i="10"/>
  <c r="CP86" i="10"/>
  <c r="CP87" i="10"/>
  <c r="CF54" i="10"/>
  <c r="CF55" i="10"/>
  <c r="CF56" i="10"/>
  <c r="CF57" i="10"/>
  <c r="CF58" i="10"/>
  <c r="CF59" i="10"/>
  <c r="CF60" i="10"/>
  <c r="CF61" i="10"/>
  <c r="CF62" i="10"/>
  <c r="CF63" i="10"/>
  <c r="CF64" i="10"/>
  <c r="CF65" i="10"/>
  <c r="CF66" i="10"/>
  <c r="CF67" i="10"/>
  <c r="CF68" i="10"/>
  <c r="CF69" i="10"/>
  <c r="CF70" i="10"/>
  <c r="CF71" i="10"/>
  <c r="CF72" i="10"/>
  <c r="CF73" i="10"/>
  <c r="CF74" i="10"/>
  <c r="CF75" i="10"/>
  <c r="CF76" i="10"/>
  <c r="CF77" i="10"/>
  <c r="CF78" i="10"/>
  <c r="CF79" i="10"/>
  <c r="CF80" i="10"/>
  <c r="CF81" i="10"/>
  <c r="CF82" i="10"/>
  <c r="CF83" i="10"/>
  <c r="CF84" i="10"/>
  <c r="CF85" i="10"/>
  <c r="CF86" i="10"/>
  <c r="CF87" i="10"/>
  <c r="BV54" i="10"/>
  <c r="BV55" i="10"/>
  <c r="BV56" i="10"/>
  <c r="BV57" i="10"/>
  <c r="BV58" i="10"/>
  <c r="BV59" i="10"/>
  <c r="BV60" i="10"/>
  <c r="BV61" i="10"/>
  <c r="BV62" i="10"/>
  <c r="BV63" i="10"/>
  <c r="BV64" i="10"/>
  <c r="BV65" i="10"/>
  <c r="BV66" i="10"/>
  <c r="BV67" i="10"/>
  <c r="BV68" i="10"/>
  <c r="BV69" i="10"/>
  <c r="BV70" i="10"/>
  <c r="BV71" i="10"/>
  <c r="BV72" i="10"/>
  <c r="BV73" i="10"/>
  <c r="BV74" i="10"/>
  <c r="BV75" i="10"/>
  <c r="BV76" i="10"/>
  <c r="BV77" i="10"/>
  <c r="BV78" i="10"/>
  <c r="BV79" i="10"/>
  <c r="BV80" i="10"/>
  <c r="BV81" i="10"/>
  <c r="BV82" i="10"/>
  <c r="BV83" i="10"/>
  <c r="BV84" i="10"/>
  <c r="BV85" i="10"/>
  <c r="BV86" i="10"/>
  <c r="BV87" i="10"/>
  <c r="AQ54" i="10"/>
  <c r="AQ55" i="10"/>
  <c r="AQ56" i="10"/>
  <c r="AQ57" i="10"/>
  <c r="AQ58" i="10"/>
  <c r="AQ59" i="10"/>
  <c r="AQ60" i="10"/>
  <c r="AQ61" i="10"/>
  <c r="AQ62" i="10"/>
  <c r="AQ63" i="10"/>
  <c r="AQ64" i="10"/>
  <c r="AQ65" i="10"/>
  <c r="AQ66" i="10"/>
  <c r="AQ67" i="10"/>
  <c r="AQ68" i="10"/>
  <c r="AQ69" i="10"/>
  <c r="AQ70" i="10"/>
  <c r="AQ71" i="10"/>
  <c r="AQ72" i="10"/>
  <c r="AQ73" i="10"/>
  <c r="AQ74" i="10"/>
  <c r="AQ75" i="10"/>
  <c r="AQ76" i="10"/>
  <c r="AQ77" i="10"/>
  <c r="AQ78" i="10"/>
  <c r="AQ79" i="10"/>
  <c r="AQ80" i="10"/>
  <c r="AQ81" i="10"/>
  <c r="AQ82" i="10"/>
  <c r="AQ83" i="10"/>
  <c r="AQ84" i="10"/>
  <c r="AQ85" i="10"/>
  <c r="AQ86" i="10"/>
  <c r="AQ87" i="10"/>
  <c r="AG54" i="10"/>
  <c r="AG55" i="10"/>
  <c r="AG56" i="10"/>
  <c r="AG57" i="10"/>
  <c r="AG58" i="10"/>
  <c r="AG59" i="10"/>
  <c r="AG60" i="10"/>
  <c r="AG61" i="10"/>
  <c r="AG62" i="10"/>
  <c r="AG63" i="10"/>
  <c r="AG64" i="10"/>
  <c r="AG65" i="10"/>
  <c r="AG66" i="10"/>
  <c r="AG67" i="10"/>
  <c r="AG68" i="10"/>
  <c r="AG69" i="10"/>
  <c r="AG70" i="10"/>
  <c r="AG71" i="10"/>
  <c r="AG72" i="10"/>
  <c r="AG73" i="10"/>
  <c r="AG74" i="10"/>
  <c r="AG75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W54" i="10"/>
  <c r="W55" i="10"/>
  <c r="W56" i="10"/>
  <c r="W57" i="10"/>
  <c r="W58" i="10"/>
  <c r="W59" i="10"/>
  <c r="W60" i="10"/>
  <c r="W61" i="10"/>
  <c r="W62" i="10"/>
  <c r="W63" i="10"/>
  <c r="W64" i="10"/>
  <c r="W65" i="10"/>
  <c r="W66" i="10"/>
  <c r="W67" i="10"/>
  <c r="W68" i="10"/>
  <c r="W69" i="10"/>
  <c r="W70" i="10"/>
  <c r="W71" i="10"/>
  <c r="W72" i="10"/>
  <c r="W73" i="10"/>
  <c r="W74" i="10"/>
  <c r="W75" i="10"/>
  <c r="W76" i="10"/>
  <c r="W77" i="10"/>
  <c r="W78" i="10"/>
  <c r="W79" i="10"/>
  <c r="W80" i="10"/>
  <c r="W81" i="10"/>
  <c r="W82" i="10"/>
  <c r="W83" i="10"/>
  <c r="W84" i="10"/>
  <c r="W85" i="10"/>
  <c r="W86" i="10"/>
  <c r="W87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CP53" i="10"/>
  <c r="W53" i="10"/>
  <c r="CF53" i="10"/>
  <c r="BV53" i="10"/>
  <c r="AQ53" i="10"/>
  <c r="AG53" i="10"/>
  <c r="M53" i="10"/>
  <c r="B14" i="11"/>
  <c r="C13" i="11"/>
  <c r="C9" i="11"/>
  <c r="C8" i="11"/>
  <c r="F72" i="5"/>
  <c r="F58" i="5"/>
  <c r="J19" i="7"/>
  <c r="F32" i="5"/>
  <c r="G32" i="5" s="1"/>
  <c r="F40" i="5"/>
  <c r="G40" i="5" s="1"/>
  <c r="F38" i="5"/>
  <c r="G38" i="5" s="1"/>
  <c r="F37" i="5"/>
  <c r="G37" i="5" s="1"/>
  <c r="F36" i="5"/>
  <c r="G36" i="5" s="1"/>
  <c r="F35" i="5"/>
  <c r="G35" i="5" s="1"/>
  <c r="G20" i="5"/>
  <c r="G6" i="5"/>
  <c r="G5" i="5"/>
  <c r="G4" i="5"/>
  <c r="H7" i="2"/>
  <c r="D19" i="7"/>
  <c r="E19" i="7" s="1"/>
  <c r="F19" i="7" s="1"/>
  <c r="C4" i="7"/>
  <c r="N32" i="2"/>
  <c r="N27" i="2"/>
  <c r="N22" i="2"/>
  <c r="N17" i="2"/>
  <c r="N12" i="2"/>
  <c r="N7" i="2"/>
  <c r="E4" i="7"/>
  <c r="I29" i="7" s="1"/>
  <c r="D29" i="7" s="1"/>
  <c r="E29" i="7" s="1"/>
  <c r="F29" i="7" s="1"/>
  <c r="G4" i="7"/>
  <c r="I39" i="7" s="1"/>
  <c r="J39" i="7" s="1"/>
  <c r="I4" i="7"/>
  <c r="I49" i="7" s="1"/>
  <c r="J49" i="7" s="1"/>
  <c r="C5" i="7"/>
  <c r="I20" i="7" s="1"/>
  <c r="E5" i="7"/>
  <c r="I30" i="7" s="1"/>
  <c r="D30" i="7" s="1"/>
  <c r="E30" i="7" s="1"/>
  <c r="F30" i="7" s="1"/>
  <c r="G5" i="7"/>
  <c r="I40" i="7" s="1"/>
  <c r="J40" i="7" s="1"/>
  <c r="I5" i="7"/>
  <c r="I50" i="7" s="1"/>
  <c r="J50" i="7" s="1"/>
  <c r="C6" i="7"/>
  <c r="I21" i="7" s="1"/>
  <c r="D21" i="7" s="1"/>
  <c r="E21" i="7" s="1"/>
  <c r="F21" i="7" s="1"/>
  <c r="E6" i="7"/>
  <c r="I31" i="7" s="1"/>
  <c r="J31" i="7" s="1"/>
  <c r="G6" i="7"/>
  <c r="I41" i="7" s="1"/>
  <c r="D41" i="7" s="1"/>
  <c r="E41" i="7" s="1"/>
  <c r="F41" i="7" s="1"/>
  <c r="G41" i="7" s="1"/>
  <c r="I6" i="7"/>
  <c r="I51" i="7" s="1"/>
  <c r="J51" i="7" s="1"/>
  <c r="C7" i="7"/>
  <c r="I22" i="7" s="1"/>
  <c r="J22" i="7" s="1"/>
  <c r="E7" i="7"/>
  <c r="I32" i="7" s="1"/>
  <c r="J32" i="7" s="1"/>
  <c r="G7" i="7"/>
  <c r="I42" i="7" s="1"/>
  <c r="D42" i="7" s="1"/>
  <c r="E42" i="7" s="1"/>
  <c r="F42" i="7" s="1"/>
  <c r="G42" i="7" s="1"/>
  <c r="I7" i="7"/>
  <c r="I52" i="7" s="1"/>
  <c r="J52" i="7" s="1"/>
  <c r="C8" i="7"/>
  <c r="I23" i="7" s="1"/>
  <c r="J23" i="7" s="1"/>
  <c r="E8" i="7"/>
  <c r="I33" i="7" s="1"/>
  <c r="G8" i="7"/>
  <c r="I43" i="7" s="1"/>
  <c r="J43" i="7" s="1"/>
  <c r="I8" i="7"/>
  <c r="I53" i="7" s="1"/>
  <c r="D53" i="7" s="1"/>
  <c r="E53" i="7" s="1"/>
  <c r="F53" i="7" s="1"/>
  <c r="G53" i="7" s="1"/>
  <c r="H53" i="7" s="1"/>
  <c r="C9" i="7"/>
  <c r="I24" i="7" s="1"/>
  <c r="D24" i="7" s="1"/>
  <c r="E24" i="7" s="1"/>
  <c r="F24" i="7" s="1"/>
  <c r="E9" i="7"/>
  <c r="I34" i="7" s="1"/>
  <c r="D34" i="7" s="1"/>
  <c r="E34" i="7" s="1"/>
  <c r="F34" i="7" s="1"/>
  <c r="G9" i="7"/>
  <c r="I44" i="7" s="1"/>
  <c r="J44" i="7" s="1"/>
  <c r="C10" i="7"/>
  <c r="I25" i="7" s="1"/>
  <c r="J25" i="7" s="1"/>
  <c r="E10" i="7"/>
  <c r="I35" i="7" s="1"/>
  <c r="J35" i="7" s="1"/>
  <c r="G10" i="7"/>
  <c r="I45" i="7" s="1"/>
  <c r="C11" i="7"/>
  <c r="I26" i="7" s="1"/>
  <c r="D26" i="7" s="1"/>
  <c r="E26" i="7" s="1"/>
  <c r="F26" i="7" s="1"/>
  <c r="E11" i="7"/>
  <c r="I36" i="7" s="1"/>
  <c r="J36" i="7" s="1"/>
  <c r="G11" i="7"/>
  <c r="I46" i="7" s="1"/>
  <c r="D46" i="7" s="1"/>
  <c r="E46" i="7" s="1"/>
  <c r="F46" i="7" s="1"/>
  <c r="G46" i="7" s="1"/>
  <c r="H46" i="7" s="1"/>
  <c r="C12" i="7"/>
  <c r="I27" i="7" s="1"/>
  <c r="J27" i="7" s="1"/>
  <c r="E12" i="7"/>
  <c r="I37" i="7" s="1"/>
  <c r="D37" i="7" s="1"/>
  <c r="E37" i="7" s="1"/>
  <c r="F37" i="7" s="1"/>
  <c r="G37" i="7" s="1"/>
  <c r="G12" i="7"/>
  <c r="I47" i="7" s="1"/>
  <c r="J47" i="7" s="1"/>
  <c r="C13" i="7"/>
  <c r="I28" i="7" s="1"/>
  <c r="J28" i="7" s="1"/>
  <c r="E13" i="7"/>
  <c r="I38" i="7" s="1"/>
  <c r="D38" i="7" s="1"/>
  <c r="E38" i="7" s="1"/>
  <c r="F38" i="7" s="1"/>
  <c r="G38" i="7" s="1"/>
  <c r="G13" i="7"/>
  <c r="I48" i="7" s="1"/>
  <c r="D48" i="7" s="1"/>
  <c r="E48" i="7" s="1"/>
  <c r="F48" i="7" s="1"/>
  <c r="G48" i="7" s="1"/>
  <c r="H48" i="7" s="1"/>
  <c r="AJ60" i="7" l="1"/>
  <c r="AJ44" i="7"/>
  <c r="G26" i="5"/>
  <c r="C59" i="11"/>
  <c r="F59" i="11"/>
  <c r="Y36" i="7"/>
  <c r="X36" i="7" s="1"/>
  <c r="Y32" i="7"/>
  <c r="X32" i="7" s="1"/>
  <c r="Y23" i="7"/>
  <c r="X23" i="7" s="1"/>
  <c r="Y22" i="7"/>
  <c r="X22" i="7" s="1"/>
  <c r="Y18" i="7"/>
  <c r="X18" i="7" s="1"/>
  <c r="X19" i="7"/>
  <c r="F20" i="12"/>
  <c r="H20" i="12" s="1"/>
  <c r="D49" i="7"/>
  <c r="E49" i="7" s="1"/>
  <c r="F49" i="7" s="1"/>
  <c r="G49" i="7" s="1"/>
  <c r="H49" i="7" s="1"/>
  <c r="D35" i="7"/>
  <c r="E35" i="7" s="1"/>
  <c r="F35" i="7" s="1"/>
  <c r="G35" i="7" s="1"/>
  <c r="D36" i="7"/>
  <c r="E36" i="7" s="1"/>
  <c r="F36" i="7" s="1"/>
  <c r="G36" i="7" s="1"/>
  <c r="J21" i="7"/>
  <c r="D28" i="7"/>
  <c r="E28" i="7" s="1"/>
  <c r="F28" i="7" s="1"/>
  <c r="D25" i="7"/>
  <c r="E25" i="7" s="1"/>
  <c r="F25" i="7" s="1"/>
  <c r="D47" i="7"/>
  <c r="E47" i="7" s="1"/>
  <c r="F47" i="7" s="1"/>
  <c r="G47" i="7" s="1"/>
  <c r="H47" i="7" s="1"/>
  <c r="J34" i="7"/>
  <c r="J46" i="7"/>
  <c r="J30" i="7"/>
  <c r="D22" i="7"/>
  <c r="E22" i="7" s="1"/>
  <c r="F22" i="7" s="1"/>
  <c r="D51" i="7"/>
  <c r="E51" i="7" s="1"/>
  <c r="F51" i="7" s="1"/>
  <c r="G51" i="7" s="1"/>
  <c r="H51" i="7" s="1"/>
  <c r="J53" i="7"/>
  <c r="J38" i="7"/>
  <c r="D31" i="7"/>
  <c r="E31" i="7" s="1"/>
  <c r="F31" i="7" s="1"/>
  <c r="D50" i="7"/>
  <c r="E50" i="7" s="1"/>
  <c r="F50" i="7" s="1"/>
  <c r="G50" i="7" s="1"/>
  <c r="H50" i="7" s="1"/>
  <c r="D45" i="7"/>
  <c r="E45" i="7" s="1"/>
  <c r="F45" i="7" s="1"/>
  <c r="G45" i="7" s="1"/>
  <c r="H45" i="7" s="1"/>
  <c r="J45" i="7"/>
  <c r="J33" i="7"/>
  <c r="D33" i="7"/>
  <c r="E33" i="7" s="1"/>
  <c r="F33" i="7" s="1"/>
  <c r="L53" i="7"/>
  <c r="D40" i="7"/>
  <c r="E40" i="7" s="1"/>
  <c r="F40" i="7" s="1"/>
  <c r="G40" i="7" s="1"/>
  <c r="D44" i="7"/>
  <c r="E44" i="7" s="1"/>
  <c r="F44" i="7" s="1"/>
  <c r="G44" i="7" s="1"/>
  <c r="H44" i="7" s="1"/>
  <c r="J42" i="7"/>
  <c r="J26" i="7"/>
  <c r="D32" i="7"/>
  <c r="E32" i="7" s="1"/>
  <c r="F32" i="7" s="1"/>
  <c r="D39" i="7"/>
  <c r="E39" i="7" s="1"/>
  <c r="F39" i="7" s="1"/>
  <c r="G39" i="7" s="1"/>
  <c r="D43" i="7"/>
  <c r="E43" i="7" s="1"/>
  <c r="F43" i="7" s="1"/>
  <c r="G43" i="7" s="1"/>
  <c r="H43" i="7" s="1"/>
  <c r="D52" i="7"/>
  <c r="E52" i="7" s="1"/>
  <c r="F52" i="7" s="1"/>
  <c r="G52" i="7" s="1"/>
  <c r="H52" i="7" s="1"/>
  <c r="J41" i="7"/>
  <c r="J37" i="7"/>
  <c r="J29" i="7"/>
  <c r="D23" i="7"/>
  <c r="E23" i="7" s="1"/>
  <c r="F23" i="7" s="1"/>
  <c r="D20" i="7"/>
  <c r="E20" i="7" s="1"/>
  <c r="F20" i="7" s="1"/>
  <c r="J48" i="7"/>
  <c r="J24" i="7"/>
  <c r="J20" i="7"/>
  <c r="D27" i="7"/>
  <c r="E27" i="7" s="1"/>
  <c r="F27" i="7" s="1"/>
  <c r="J14" i="11"/>
  <c r="F4" i="11"/>
  <c r="J59" i="11"/>
  <c r="F14" i="11"/>
  <c r="N21" i="11" s="1"/>
  <c r="F38" i="11"/>
  <c r="F44" i="11" s="1"/>
  <c r="J44" i="11"/>
  <c r="F29" i="11"/>
  <c r="N22" i="11" s="1"/>
  <c r="D14" i="11"/>
  <c r="C6" i="11"/>
  <c r="U115" i="10"/>
  <c r="U112" i="10"/>
  <c r="D25" i="12"/>
  <c r="I25" i="12" s="1"/>
  <c r="I10" i="12"/>
  <c r="D22" i="12"/>
  <c r="D35" i="12" s="1"/>
  <c r="I35" i="12" s="1"/>
  <c r="I6" i="12"/>
  <c r="I5" i="12"/>
  <c r="I12" i="12"/>
  <c r="I4" i="12"/>
  <c r="D21" i="12"/>
  <c r="I21" i="12" s="1"/>
  <c r="H3" i="12"/>
  <c r="I18" i="12"/>
  <c r="D31" i="12"/>
  <c r="I31" i="12" s="1"/>
  <c r="F17" i="12"/>
  <c r="H17" i="12" s="1"/>
  <c r="F18" i="12"/>
  <c r="H18" i="12" s="1"/>
  <c r="I3" i="12"/>
  <c r="I22" i="12"/>
  <c r="D16" i="12"/>
  <c r="D29" i="12" s="1"/>
  <c r="I29" i="12" s="1"/>
  <c r="I24" i="12"/>
  <c r="F24" i="12"/>
  <c r="H24" i="12" s="1"/>
  <c r="D37" i="12"/>
  <c r="F37" i="12" s="1"/>
  <c r="H37" i="12" s="1"/>
  <c r="I20" i="12"/>
  <c r="D33" i="12"/>
  <c r="F33" i="12" s="1"/>
  <c r="H33" i="12" s="1"/>
  <c r="D38" i="12"/>
  <c r="O12" i="12" s="1"/>
  <c r="D30" i="12"/>
  <c r="I30" i="12" s="1"/>
  <c r="I11" i="12"/>
  <c r="I7" i="12"/>
  <c r="I17" i="12"/>
  <c r="F23" i="12"/>
  <c r="H23" i="12" s="1"/>
  <c r="F19" i="12"/>
  <c r="H19" i="12" s="1"/>
  <c r="D36" i="12"/>
  <c r="I36" i="12" s="1"/>
  <c r="D32" i="12"/>
  <c r="O6" i="12" s="1"/>
  <c r="I37" i="12"/>
  <c r="O9" i="12"/>
  <c r="F35" i="12"/>
  <c r="H35" i="12" s="1"/>
  <c r="C12" i="11"/>
  <c r="C5" i="11"/>
  <c r="F71" i="5"/>
  <c r="F70" i="5"/>
  <c r="F62" i="5"/>
  <c r="F57" i="5"/>
  <c r="F56" i="5"/>
  <c r="F55" i="5"/>
  <c r="F54" i="5"/>
  <c r="F53" i="5"/>
  <c r="F52" i="5"/>
  <c r="F51" i="5"/>
  <c r="F50" i="5"/>
  <c r="F49" i="5"/>
  <c r="F48" i="5"/>
  <c r="F47" i="5"/>
  <c r="G34" i="5"/>
  <c r="E34" i="5"/>
  <c r="F25" i="5"/>
  <c r="I25" i="5" s="1"/>
  <c r="F23" i="5"/>
  <c r="I23" i="5" s="1"/>
  <c r="F22" i="5"/>
  <c r="I22" i="5" s="1"/>
  <c r="F21" i="5"/>
  <c r="I21" i="5" s="1"/>
  <c r="F20" i="5"/>
  <c r="I20" i="5" s="1"/>
  <c r="F19" i="5"/>
  <c r="I19" i="5" s="1"/>
  <c r="F18" i="5"/>
  <c r="I18" i="5" s="1"/>
  <c r="F17" i="5"/>
  <c r="I17" i="5" s="1"/>
  <c r="F16" i="5"/>
  <c r="I16" i="5" s="1"/>
  <c r="F15" i="5"/>
  <c r="I15" i="5" s="1"/>
  <c r="F14" i="5"/>
  <c r="I14" i="5" s="1"/>
  <c r="F13" i="5"/>
  <c r="I13" i="5" s="1"/>
  <c r="F12" i="5"/>
  <c r="I12" i="5" s="1"/>
  <c r="F11" i="5"/>
  <c r="I11" i="5" s="1"/>
  <c r="F10" i="5"/>
  <c r="I10" i="5" s="1"/>
  <c r="F9" i="5"/>
  <c r="I9" i="5" s="1"/>
  <c r="F8" i="5"/>
  <c r="I8" i="5" s="1"/>
  <c r="F7" i="5"/>
  <c r="I7" i="5" s="1"/>
  <c r="F6" i="5"/>
  <c r="I6" i="5" s="1"/>
  <c r="F5" i="5"/>
  <c r="I5" i="5" s="1"/>
  <c r="F4" i="5"/>
  <c r="I4" i="5" s="1"/>
  <c r="F3" i="5"/>
  <c r="I3" i="5" s="1"/>
  <c r="F2" i="5"/>
  <c r="I2" i="5" s="1"/>
  <c r="I26" i="5" l="1"/>
  <c r="F63" i="5"/>
  <c r="F64" i="5" s="1"/>
  <c r="F25" i="12"/>
  <c r="H25" i="12" s="1"/>
  <c r="F22" i="12"/>
  <c r="H22" i="12" s="1"/>
  <c r="O7" i="12"/>
  <c r="O20" i="12" s="1"/>
  <c r="I16" i="12"/>
  <c r="O3" i="12"/>
  <c r="O16" i="12" s="1"/>
  <c r="F16" i="12"/>
  <c r="H16" i="12" s="1"/>
  <c r="F29" i="12"/>
  <c r="H29" i="12" s="1"/>
  <c r="D34" i="12"/>
  <c r="I34" i="12" s="1"/>
  <c r="F30" i="12"/>
  <c r="H30" i="12" s="1"/>
  <c r="O4" i="12"/>
  <c r="T4" i="12" s="1"/>
  <c r="F21" i="12"/>
  <c r="H21" i="12" s="1"/>
  <c r="F31" i="12"/>
  <c r="H31" i="12" s="1"/>
  <c r="F74" i="5"/>
  <c r="F75" i="5" s="1"/>
  <c r="I33" i="12"/>
  <c r="O5" i="12"/>
  <c r="Q5" i="12" s="1"/>
  <c r="S5" i="12" s="1"/>
  <c r="O11" i="12"/>
  <c r="Q11" i="12" s="1"/>
  <c r="S11" i="12" s="1"/>
  <c r="F34" i="12"/>
  <c r="H34" i="12" s="1"/>
  <c r="I32" i="12"/>
  <c r="F32" i="12"/>
  <c r="H32" i="12" s="1"/>
  <c r="I38" i="12"/>
  <c r="F38" i="12"/>
  <c r="H38" i="12" s="1"/>
  <c r="F36" i="12"/>
  <c r="H36" i="12" s="1"/>
  <c r="O10" i="12"/>
  <c r="Q10" i="12" s="1"/>
  <c r="S10" i="12" s="1"/>
  <c r="Q12" i="12"/>
  <c r="S12" i="12" s="1"/>
  <c r="O25" i="12"/>
  <c r="T12" i="12"/>
  <c r="O22" i="12"/>
  <c r="T9" i="12"/>
  <c r="Q9" i="12"/>
  <c r="S9" i="12" s="1"/>
  <c r="Q7" i="12"/>
  <c r="S7" i="12" s="1"/>
  <c r="T7" i="12"/>
  <c r="O19" i="12"/>
  <c r="Q6" i="12"/>
  <c r="S6" i="12" s="1"/>
  <c r="T6" i="12"/>
  <c r="O18" i="12"/>
  <c r="T3" i="12"/>
  <c r="F26" i="5"/>
  <c r="O58" i="5" l="1"/>
  <c r="I52" i="5" s="1"/>
  <c r="Q39" i="5"/>
  <c r="Q46" i="5"/>
  <c r="Q47" i="5" s="1"/>
  <c r="I65" i="5"/>
  <c r="Q42" i="5"/>
  <c r="Q3" i="12"/>
  <c r="S3" i="12" s="1"/>
  <c r="O24" i="12"/>
  <c r="T24" i="12" s="1"/>
  <c r="T5" i="12"/>
  <c r="O17" i="12"/>
  <c r="T17" i="12" s="1"/>
  <c r="T11" i="12"/>
  <c r="Q4" i="12"/>
  <c r="S4" i="12" s="1"/>
  <c r="O23" i="12"/>
  <c r="Q23" i="12" s="1"/>
  <c r="S23" i="12" s="1"/>
  <c r="O8" i="12"/>
  <c r="T10" i="12"/>
  <c r="Q25" i="12"/>
  <c r="S25" i="12" s="1"/>
  <c r="T25" i="12"/>
  <c r="O38" i="12"/>
  <c r="O37" i="12"/>
  <c r="Q24" i="12"/>
  <c r="S24" i="12" s="1"/>
  <c r="T23" i="12"/>
  <c r="O36" i="12"/>
  <c r="O35" i="12"/>
  <c r="T22" i="12"/>
  <c r="Q22" i="12"/>
  <c r="S22" i="12" s="1"/>
  <c r="T20" i="12"/>
  <c r="O33" i="12"/>
  <c r="Q20" i="12"/>
  <c r="S20" i="12" s="1"/>
  <c r="T19" i="12"/>
  <c r="O32" i="12"/>
  <c r="Q19" i="12"/>
  <c r="S19" i="12" s="1"/>
  <c r="O31" i="12"/>
  <c r="T18" i="12"/>
  <c r="Q18" i="12"/>
  <c r="S18" i="12" s="1"/>
  <c r="O30" i="12"/>
  <c r="Q17" i="12"/>
  <c r="S17" i="12" s="1"/>
  <c r="T16" i="12"/>
  <c r="O29" i="12"/>
  <c r="Q16" i="12"/>
  <c r="S16" i="12" s="1"/>
  <c r="Q8" i="12" l="1"/>
  <c r="S8" i="12" s="1"/>
  <c r="O21" i="12"/>
  <c r="T8" i="12"/>
  <c r="T38" i="12"/>
  <c r="Q38" i="12"/>
  <c r="S38" i="12" s="1"/>
  <c r="Z12" i="12"/>
  <c r="T37" i="12"/>
  <c r="Z11" i="12"/>
  <c r="Q37" i="12"/>
  <c r="S37" i="12" s="1"/>
  <c r="T36" i="12"/>
  <c r="Z10" i="12"/>
  <c r="Q36" i="12"/>
  <c r="S36" i="12" s="1"/>
  <c r="Z9" i="12"/>
  <c r="T35" i="12"/>
  <c r="Q35" i="12"/>
  <c r="S35" i="12" s="1"/>
  <c r="Z7" i="12"/>
  <c r="Q33" i="12"/>
  <c r="S33" i="12" s="1"/>
  <c r="T33" i="12"/>
  <c r="Q32" i="12"/>
  <c r="S32" i="12" s="1"/>
  <c r="T32" i="12"/>
  <c r="Z6" i="12"/>
  <c r="Z5" i="12"/>
  <c r="T31" i="12"/>
  <c r="Q31" i="12"/>
  <c r="S31" i="12" s="1"/>
  <c r="Z4" i="12"/>
  <c r="Q30" i="12"/>
  <c r="S30" i="12" s="1"/>
  <c r="T30" i="12"/>
  <c r="Z3" i="12"/>
  <c r="AB3" i="12" s="1"/>
  <c r="AD3" i="12" s="1"/>
  <c r="Q29" i="12"/>
  <c r="S29" i="12" s="1"/>
  <c r="T29" i="12"/>
  <c r="Q21" i="12" l="1"/>
  <c r="S21" i="12" s="1"/>
  <c r="T21" i="12"/>
  <c r="O34" i="12"/>
  <c r="AB12" i="12"/>
  <c r="AD12" i="12" s="1"/>
  <c r="Z25" i="12"/>
  <c r="Z38" i="12" s="1"/>
  <c r="AE12" i="12"/>
  <c r="AE11" i="12"/>
  <c r="Z24" i="12"/>
  <c r="Z37" i="12" s="1"/>
  <c r="AB11" i="12"/>
  <c r="AD11" i="12" s="1"/>
  <c r="AB10" i="12"/>
  <c r="AD10" i="12" s="1"/>
  <c r="Z23" i="12"/>
  <c r="Z36" i="12" s="1"/>
  <c r="AE10" i="12"/>
  <c r="AE9" i="12"/>
  <c r="Z22" i="12"/>
  <c r="Z35" i="12" s="1"/>
  <c r="AB9" i="12"/>
  <c r="AD9" i="12" s="1"/>
  <c r="AE7" i="12"/>
  <c r="Z20" i="12"/>
  <c r="Z33" i="12" s="1"/>
  <c r="AB7" i="12"/>
  <c r="AD7" i="12" s="1"/>
  <c r="AE6" i="12"/>
  <c r="Z19" i="12"/>
  <c r="Z32" i="12" s="1"/>
  <c r="AB6" i="12"/>
  <c r="AD6" i="12" s="1"/>
  <c r="AE5" i="12"/>
  <c r="Z18" i="12"/>
  <c r="Z31" i="12" s="1"/>
  <c r="AB5" i="12"/>
  <c r="AD5" i="12" s="1"/>
  <c r="AE4" i="12"/>
  <c r="Z17" i="12"/>
  <c r="Z30" i="12" s="1"/>
  <c r="AB4" i="12"/>
  <c r="AD4" i="12" s="1"/>
  <c r="AE3" i="12"/>
  <c r="Z16" i="12"/>
  <c r="C4" i="11"/>
  <c r="C14" i="11" s="1"/>
  <c r="AE38" i="12" l="1"/>
  <c r="AB38" i="12"/>
  <c r="AE37" i="12"/>
  <c r="AB37" i="12"/>
  <c r="AE36" i="12"/>
  <c r="AB36" i="12"/>
  <c r="AE35" i="12"/>
  <c r="AB35" i="12"/>
  <c r="AE33" i="12"/>
  <c r="AB33" i="12"/>
  <c r="AE32" i="12"/>
  <c r="AB32" i="12"/>
  <c r="AE31" i="12"/>
  <c r="AB31" i="12"/>
  <c r="AE30" i="12"/>
  <c r="AB30" i="12"/>
  <c r="Z29" i="12"/>
  <c r="AE16" i="12"/>
  <c r="Q34" i="12"/>
  <c r="S34" i="12" s="1"/>
  <c r="Z8" i="12"/>
  <c r="T34" i="12"/>
  <c r="AE25" i="12"/>
  <c r="AB25" i="12"/>
  <c r="AD25" i="12" s="1"/>
  <c r="AE24" i="12"/>
  <c r="AB24" i="12"/>
  <c r="AD24" i="12" s="1"/>
  <c r="AE23" i="12"/>
  <c r="AB23" i="12"/>
  <c r="AD23" i="12" s="1"/>
  <c r="AE22" i="12"/>
  <c r="AB22" i="12"/>
  <c r="AD22" i="12" s="1"/>
  <c r="AE20" i="12"/>
  <c r="AB20" i="12"/>
  <c r="AD20" i="12" s="1"/>
  <c r="AE19" i="12"/>
  <c r="AB19" i="12"/>
  <c r="AD19" i="12" s="1"/>
  <c r="AE18" i="12"/>
  <c r="AB18" i="12"/>
  <c r="AD18" i="12" s="1"/>
  <c r="AE17" i="12"/>
  <c r="AB17" i="12"/>
  <c r="AD17" i="12" s="1"/>
  <c r="AB16" i="12"/>
  <c r="AD16" i="12" s="1"/>
  <c r="AE29" i="12" l="1"/>
  <c r="AB29" i="12"/>
  <c r="Z21" i="12"/>
  <c r="Z34" i="12" s="1"/>
  <c r="AE8" i="12"/>
  <c r="AB8" i="12"/>
  <c r="AD8" i="12" s="1"/>
  <c r="AE34" i="12" l="1"/>
  <c r="AB34" i="12"/>
  <c r="AB21" i="12"/>
  <c r="AD21" i="12" s="1"/>
  <c r="AE21" i="12"/>
  <c r="G33" i="5" l="1"/>
  <c r="G41" i="5" l="1"/>
  <c r="F33" i="5"/>
  <c r="F41" i="5" s="1"/>
  <c r="Q49" i="5" l="1"/>
  <c r="O39" i="5"/>
  <c r="I49" i="5"/>
  <c r="O47" i="5"/>
  <c r="O35" i="5" l="1"/>
  <c r="O51" i="5" s="1"/>
  <c r="O43" i="5"/>
</calcChain>
</file>

<file path=xl/sharedStrings.xml><?xml version="1.0" encoding="utf-8"?>
<sst xmlns="http://schemas.openxmlformats.org/spreadsheetml/2006/main" count="1647" uniqueCount="257">
  <si>
    <t>-</t>
  </si>
  <si>
    <t>No.</t>
  </si>
  <si>
    <t>Total</t>
  </si>
  <si>
    <t>Uraian</t>
  </si>
  <si>
    <t>Jumlah</t>
  </si>
  <si>
    <t>Satuan</t>
  </si>
  <si>
    <t>Harga satuan (Rp)</t>
  </si>
  <si>
    <t>Harga total (Rp)</t>
  </si>
  <si>
    <t>Usia Ekonomis</t>
  </si>
  <si>
    <t>Biaya penyusutan</t>
  </si>
  <si>
    <t>unit</t>
  </si>
  <si>
    <t>meter</t>
  </si>
  <si>
    <t>buah</t>
  </si>
  <si>
    <t>Blower</t>
  </si>
  <si>
    <t>Biaya Tetap</t>
  </si>
  <si>
    <t>Satuan perbulan</t>
  </si>
  <si>
    <t>Biaya Satuan (Rp)</t>
  </si>
  <si>
    <t>Biaya Perbulan (Rp)</t>
  </si>
  <si>
    <t>Biaya Pertahun (Rp)</t>
  </si>
  <si>
    <t>Orang</t>
  </si>
  <si>
    <t>Listrik</t>
  </si>
  <si>
    <t>kWh</t>
  </si>
  <si>
    <t>Biaya Tidak Tetap</t>
  </si>
  <si>
    <t>Ukuran</t>
  </si>
  <si>
    <t>Harga Satuan (Rp)</t>
  </si>
  <si>
    <t>Harga Total (Rp)</t>
  </si>
  <si>
    <t>kg</t>
  </si>
  <si>
    <t>Gas LPG</t>
  </si>
  <si>
    <t>tabung</t>
  </si>
  <si>
    <t>Total Pertahun</t>
  </si>
  <si>
    <t>Pendapatan Hasil Panen</t>
  </si>
  <si>
    <t>Pendapatan (Rp)</t>
  </si>
  <si>
    <t>Total Pendapatan Pertahun</t>
  </si>
  <si>
    <t>Nilai Sisa</t>
  </si>
  <si>
    <t>Padat Tebar</t>
  </si>
  <si>
    <t>DOC 1-10 (200 g)</t>
  </si>
  <si>
    <t>DOC 11-20 (400 g)</t>
  </si>
  <si>
    <t>DOC 21-30 (600 g)</t>
  </si>
  <si>
    <t>DOC 31-35 (600 g)</t>
  </si>
  <si>
    <t>BLIND FEEDING</t>
  </si>
  <si>
    <t>PERBAIKAN LAHAN DAN SARANA PRASARANA</t>
  </si>
  <si>
    <t>Salinitas</t>
  </si>
  <si>
    <t>Amonia</t>
  </si>
  <si>
    <t>pH</t>
  </si>
  <si>
    <t>DO</t>
  </si>
  <si>
    <t>Suhu</t>
  </si>
  <si>
    <t>C5</t>
  </si>
  <si>
    <t>C4</t>
  </si>
  <si>
    <t>C3</t>
  </si>
  <si>
    <t>C2</t>
  </si>
  <si>
    <t>C1</t>
  </si>
  <si>
    <t>Tanggal</t>
  </si>
  <si>
    <t>Kolam</t>
  </si>
  <si>
    <t>Asal Benur</t>
  </si>
  <si>
    <t>Luas Tambak (m2)</t>
  </si>
  <si>
    <t>Tebar (ekor)</t>
  </si>
  <si>
    <t>PT Prima Larvae</t>
  </si>
  <si>
    <t>DOC</t>
  </si>
  <si>
    <t>Kode Pakan</t>
  </si>
  <si>
    <t>Jam Pakan</t>
  </si>
  <si>
    <t>Komulatif</t>
  </si>
  <si>
    <t>2A</t>
  </si>
  <si>
    <t>2P</t>
  </si>
  <si>
    <t>Total Pakan (g)</t>
  </si>
  <si>
    <t>PANEN</t>
  </si>
  <si>
    <t>PARSIAL</t>
  </si>
  <si>
    <t>Pipa PVC 8"</t>
  </si>
  <si>
    <t>Pipa PVC 6"</t>
  </si>
  <si>
    <t>HDPE 0,5</t>
  </si>
  <si>
    <t>Kincir</t>
  </si>
  <si>
    <t>Kabel Kincir</t>
  </si>
  <si>
    <t>Terminal Listrik</t>
  </si>
  <si>
    <t>Anco</t>
  </si>
  <si>
    <t>Jembatan Anco</t>
  </si>
  <si>
    <t>Ruang Gudang</t>
  </si>
  <si>
    <t>Ruang Sortir</t>
  </si>
  <si>
    <t>Ruang Dapur</t>
  </si>
  <si>
    <t>Ruang Genset</t>
  </si>
  <si>
    <t>Kantor</t>
  </si>
  <si>
    <t>Mess Teknisi</t>
  </si>
  <si>
    <t>Pompa Centrifugal 2"</t>
  </si>
  <si>
    <t>Jala</t>
  </si>
  <si>
    <t>Timbangan Pakan</t>
  </si>
  <si>
    <t>Timbangan Digital</t>
  </si>
  <si>
    <t>Selang Spiral 4"</t>
  </si>
  <si>
    <t>Motor Becak</t>
  </si>
  <si>
    <t>Mobil Pick Up</t>
  </si>
  <si>
    <t>Generator Set (550 KVA)</t>
  </si>
  <si>
    <t>Sewa Lahan</t>
  </si>
  <si>
    <t>meter2</t>
  </si>
  <si>
    <t>Manajer Produksi</t>
  </si>
  <si>
    <t>Teknisi</t>
  </si>
  <si>
    <t>Feeder</t>
  </si>
  <si>
    <t>Sekuriti</t>
  </si>
  <si>
    <t>Mekanik</t>
  </si>
  <si>
    <t>Ciupri Sulfate</t>
  </si>
  <si>
    <t>Super Lacto</t>
  </si>
  <si>
    <t>Super NB</t>
  </si>
  <si>
    <t>Super PS</t>
  </si>
  <si>
    <t>Crustasid</t>
  </si>
  <si>
    <t>CAO</t>
  </si>
  <si>
    <t>Saponen</t>
  </si>
  <si>
    <t>Bensin</t>
  </si>
  <si>
    <t>Solar</t>
  </si>
  <si>
    <t>Benur PL 10</t>
  </si>
  <si>
    <t>Pakan Ecobest</t>
  </si>
  <si>
    <t>ekor</t>
  </si>
  <si>
    <t>liter</t>
  </si>
  <si>
    <t>Bonus</t>
  </si>
  <si>
    <t>Total Persiklus</t>
  </si>
  <si>
    <t>Parsial DOC 70</t>
  </si>
  <si>
    <t>Jumlah (Kg)</t>
  </si>
  <si>
    <t>Harga Perkilo (Rp)</t>
  </si>
  <si>
    <t>Parsial DOC 105</t>
  </si>
  <si>
    <t>Parsial DOC 84</t>
  </si>
  <si>
    <t>Panen Total DOC 120</t>
  </si>
  <si>
    <t>Total Panen</t>
  </si>
  <si>
    <t>Padat Tebar Awal (ekor)</t>
  </si>
  <si>
    <t>SR %</t>
  </si>
  <si>
    <t>B1</t>
  </si>
  <si>
    <t>B2</t>
  </si>
  <si>
    <t>B3</t>
  </si>
  <si>
    <t>B4</t>
  </si>
  <si>
    <t>B5</t>
  </si>
  <si>
    <t>Total Pendapatan Persiklus</t>
  </si>
  <si>
    <t>PENGUKURAN KUALITAS AIR</t>
  </si>
  <si>
    <t>Pagi (06.00)</t>
  </si>
  <si>
    <t>Siang (13.30)</t>
  </si>
  <si>
    <t>11 Mei 2024</t>
  </si>
  <si>
    <t>18 Mei 2024</t>
  </si>
  <si>
    <t>Petak</t>
  </si>
  <si>
    <t>ADG</t>
  </si>
  <si>
    <t>ABW</t>
  </si>
  <si>
    <t>Populasi</t>
  </si>
  <si>
    <t>Biomass</t>
  </si>
  <si>
    <t xml:space="preserve">FCR </t>
  </si>
  <si>
    <t>Size</t>
  </si>
  <si>
    <t>DOC 35</t>
  </si>
  <si>
    <t>25 Mei 2024</t>
  </si>
  <si>
    <t>SR%</t>
  </si>
  <si>
    <t>FCR</t>
  </si>
  <si>
    <t>15 Juni 2024</t>
  </si>
  <si>
    <t>20 Maret 2024</t>
  </si>
  <si>
    <t>DOC 105</t>
  </si>
  <si>
    <t>Min</t>
  </si>
  <si>
    <t>Hasil</t>
  </si>
  <si>
    <t>Maks</t>
  </si>
  <si>
    <t>Kecerahan</t>
  </si>
  <si>
    <t>DOC 45</t>
  </si>
  <si>
    <t>DOC 55</t>
  </si>
  <si>
    <t>DOC 65</t>
  </si>
  <si>
    <t>DOC 75</t>
  </si>
  <si>
    <t>DOC 85</t>
  </si>
  <si>
    <t>DOC 95</t>
  </si>
  <si>
    <t>19 Februari 2024</t>
  </si>
  <si>
    <t>29 Februari 2024</t>
  </si>
  <si>
    <t>10 Maret 2024</t>
  </si>
  <si>
    <t>Partial 1 (DOC 70)</t>
  </si>
  <si>
    <t>1 kantong rata-rata 2.820 ekor benur, 1 box berisi 4 kantong benur, rata-rata berisi 78 plastik</t>
  </si>
  <si>
    <t>Manajemen Pakan Untuk 100.000 ekor</t>
  </si>
  <si>
    <t>Padat Tebar Rata-rata 210.033 ekor/kolam</t>
  </si>
  <si>
    <t>Siklus 7 April 2024</t>
  </si>
  <si>
    <t>Tonase (Kg)</t>
  </si>
  <si>
    <t>DOC 120</t>
  </si>
  <si>
    <t>Siklus 26 November 2023</t>
  </si>
  <si>
    <t>Siklus 23 Mei 2023</t>
  </si>
  <si>
    <t>Siklus 20 November 2022</t>
  </si>
  <si>
    <t>Bonus Teknisi</t>
  </si>
  <si>
    <t>Bonus Manajer</t>
  </si>
  <si>
    <t>Doc</t>
  </si>
  <si>
    <t>7,5</t>
  </si>
  <si>
    <t>8,0</t>
  </si>
  <si>
    <t>8,4</t>
  </si>
  <si>
    <t>SALINITAS</t>
  </si>
  <si>
    <t>Alkalinitas</t>
  </si>
  <si>
    <t>Haasil</t>
  </si>
  <si>
    <t>0,0</t>
  </si>
  <si>
    <t>0,09</t>
  </si>
  <si>
    <t>0,07</t>
  </si>
  <si>
    <t>0,04</t>
  </si>
  <si>
    <t>0,05</t>
  </si>
  <si>
    <t>0,08</t>
  </si>
  <si>
    <t>0,06</t>
  </si>
  <si>
    <t>0,02</t>
  </si>
  <si>
    <t>0,03</t>
  </si>
  <si>
    <t>Pagi</t>
  </si>
  <si>
    <t>Sore</t>
  </si>
  <si>
    <t>Sampling</t>
  </si>
  <si>
    <t>Minggu ke-</t>
  </si>
  <si>
    <t>Juru Dapur</t>
  </si>
  <si>
    <t>Pembangunan Lahan</t>
  </si>
  <si>
    <t>Biaya Operasional</t>
  </si>
  <si>
    <t>Laba Rugi</t>
  </si>
  <si>
    <t>PT CLC</t>
  </si>
  <si>
    <t>PT BLK</t>
  </si>
  <si>
    <t>Hasil Panen</t>
  </si>
  <si>
    <t>Siklus 7 April</t>
  </si>
  <si>
    <t>Siklus 26 Nov</t>
  </si>
  <si>
    <t>Padat Tebar (m2)</t>
  </si>
  <si>
    <t>Biomassa</t>
  </si>
  <si>
    <t>Produktivitas</t>
  </si>
  <si>
    <r>
      <t xml:space="preserve">FR </t>
    </r>
    <r>
      <rPr>
        <strike/>
        <sz val="11"/>
        <color theme="1"/>
        <rFont val="Calibri"/>
        <family val="2"/>
        <scheme val="minor"/>
      </rPr>
      <t>%</t>
    </r>
  </si>
  <si>
    <t>Biomass (g)</t>
  </si>
  <si>
    <t>Populasi (ekor)</t>
  </si>
  <si>
    <t>Pakan/Hari (kg)</t>
  </si>
  <si>
    <t>Biomassa (Kg)</t>
  </si>
  <si>
    <t>FR %</t>
  </si>
  <si>
    <t>ABW (g)</t>
  </si>
  <si>
    <t>2,00</t>
  </si>
  <si>
    <t>anco +</t>
  </si>
  <si>
    <t>anco +/- (g)</t>
  </si>
  <si>
    <t>27 Februari 2024</t>
  </si>
  <si>
    <t>28 Februari 2024</t>
  </si>
  <si>
    <t>1 Maret 2024</t>
  </si>
  <si>
    <t>2 Maret 2024</t>
  </si>
  <si>
    <t>3 Maret 2024</t>
  </si>
  <si>
    <t>4 Maret 2024</t>
  </si>
  <si>
    <t>5 Maret 2024</t>
  </si>
  <si>
    <t>6 Maret 2024</t>
  </si>
  <si>
    <t>7 Maret 2024</t>
  </si>
  <si>
    <t>8 Maret 2024</t>
  </si>
  <si>
    <t>9 Maret 2024</t>
  </si>
  <si>
    <t>11 Maret 2024</t>
  </si>
  <si>
    <t>12 Maret 2024</t>
  </si>
  <si>
    <t>13 Maret 2024</t>
  </si>
  <si>
    <t>14 Maret 2024</t>
  </si>
  <si>
    <t>15 Maret 2024</t>
  </si>
  <si>
    <t>16 Maret 2024</t>
  </si>
  <si>
    <t>17 Maret 2024</t>
  </si>
  <si>
    <t>18 Maret 2024</t>
  </si>
  <si>
    <t>19 Maret 2024</t>
  </si>
  <si>
    <t>21 Maret 2024</t>
  </si>
  <si>
    <t>22 Maret 2024</t>
  </si>
  <si>
    <t>23 Maret 2024</t>
  </si>
  <si>
    <t>24 Maret 2024</t>
  </si>
  <si>
    <t>25 Maret 2024</t>
  </si>
  <si>
    <t>20 Februari 2024</t>
  </si>
  <si>
    <t>21 Februari 2024</t>
  </si>
  <si>
    <t>22 Februari 2024</t>
  </si>
  <si>
    <t>23 Februari 2024</t>
  </si>
  <si>
    <t>24 Februari 2024</t>
  </si>
  <si>
    <t>25 Februari 2024</t>
  </si>
  <si>
    <t>26 Februari 2024</t>
  </si>
  <si>
    <t xml:space="preserve"> </t>
  </si>
  <si>
    <t>Jumlah Ekor</t>
  </si>
  <si>
    <t>Tonase (kg)</t>
  </si>
  <si>
    <t>Harga (Rp. 60.250)</t>
  </si>
  <si>
    <t>Harga (Rp. 56.300)</t>
  </si>
  <si>
    <t>Parsial DOC 85</t>
  </si>
  <si>
    <t>Harga (Rp. 65.500)</t>
  </si>
  <si>
    <t>Panen Total 120</t>
  </si>
  <si>
    <t>Harga (RP. 67.500)</t>
  </si>
  <si>
    <t>BEP Unit</t>
  </si>
  <si>
    <t>R/C Rasio</t>
  </si>
  <si>
    <t>BEP Harga</t>
  </si>
  <si>
    <t>PP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</si>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</sst>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0.0"/>
    <numFmt numFmtId="165" formatCode="&quot;Rp&quot;#,##0"/>
    <numFmt numFmtId="166" formatCode="[$-13809]hh:mm;@"/>
    <numFmt numFmtId="167" formatCode="_-* #,##0.0_-;\-* #,##0.0_-;_-* &quot;-&quot;_-;_-@_-"/>
    <numFmt numFmtId="168" formatCode="&quot;Rp&quot;#,##0.00"/>
    <numFmt numFmtId="169" formatCode="#,##0.0"/>
    <numFmt numFmtId="170" formatCode="#,##0.000"/>
    <numFmt numFmtId="171" formatCode="#,##0.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5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1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horizontal="center"/>
    </xf>
    <xf numFmtId="165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5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165" fontId="1" fillId="0" borderId="2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0" fontId="0" fillId="0" borderId="0" xfId="0" applyAlignment="1">
      <alignment vertical="center"/>
    </xf>
    <xf numFmtId="1" fontId="1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left" vertical="center" wrapText="1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1" fillId="0" borderId="0" xfId="0" applyNumberFormat="1" applyFont="1"/>
    <xf numFmtId="0" fontId="4" fillId="0" borderId="0" xfId="0" quotePrefix="1" applyFont="1"/>
    <xf numFmtId="166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64" fontId="4" fillId="0" borderId="0" xfId="0" applyNumberFormat="1" applyFont="1"/>
    <xf numFmtId="164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vertical="center"/>
    </xf>
    <xf numFmtId="167" fontId="1" fillId="0" borderId="0" xfId="1" applyNumberFormat="1" applyFont="1" applyAlignment="1">
      <alignment vertical="center"/>
    </xf>
    <xf numFmtId="164" fontId="1" fillId="0" borderId="0" xfId="1" applyNumberFormat="1" applyFont="1" applyAlignment="1">
      <alignment vertical="center"/>
    </xf>
    <xf numFmtId="2" fontId="0" fillId="0" borderId="0" xfId="0" applyNumberFormat="1"/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165" fontId="0" fillId="0" borderId="0" xfId="0" applyNumberFormat="1"/>
    <xf numFmtId="168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1" fillId="6" borderId="0" xfId="0" applyNumberFormat="1" applyFont="1" applyFill="1" applyAlignment="1">
      <alignment horizontal="center"/>
    </xf>
    <xf numFmtId="164" fontId="1" fillId="7" borderId="0" xfId="0" applyNumberFormat="1" applyFont="1" applyFill="1" applyAlignment="1">
      <alignment horizontal="center"/>
    </xf>
    <xf numFmtId="164" fontId="1" fillId="8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0" fontId="10" fillId="0" borderId="0" xfId="0" applyFont="1" applyAlignment="1">
      <alignment horizontal="center" vertical="center"/>
    </xf>
    <xf numFmtId="1" fontId="0" fillId="0" borderId="0" xfId="0" applyNumberFormat="1"/>
    <xf numFmtId="0" fontId="1" fillId="0" borderId="16" xfId="0" applyFont="1" applyBorder="1"/>
    <xf numFmtId="9" fontId="0" fillId="0" borderId="0" xfId="2" applyFont="1"/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8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169" fontId="0" fillId="0" borderId="0" xfId="0" applyNumberFormat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0" fillId="0" borderId="0" xfId="0" applyNumberFormat="1" applyAlignment="1">
      <alignment horizontal="center" wrapText="1"/>
    </xf>
    <xf numFmtId="3" fontId="0" fillId="0" borderId="0" xfId="0" applyNumberForma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70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/>
    </xf>
    <xf numFmtId="165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horizontal="left"/>
    </xf>
    <xf numFmtId="165" fontId="1" fillId="0" borderId="10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3">
    <cellStyle name="Koma [0]" xfId="1" builtinId="6"/>
    <cellStyle name="Normal" xfId="0" builtinId="0"/>
    <cellStyle name="Persen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C6C0E-F1AC-442B-8244-11FBC75EADBD}">
  <dimension ref="A1:AQ135"/>
  <sheetViews>
    <sheetView topLeftCell="AC1" zoomScale="72" zoomScaleNormal="115" workbookViewId="0">
      <selection activeCell="AP36" sqref="AP36:AQ45"/>
    </sheetView>
  </sheetViews>
  <sheetFormatPr defaultRowHeight="14.4" x14ac:dyDescent="0.3"/>
  <cols>
    <col min="1" max="1" width="20.6640625" style="83" customWidth="1"/>
    <col min="2" max="2" width="8.88671875" style="83"/>
    <col min="3" max="3" width="13.21875" style="83" customWidth="1"/>
    <col min="4" max="4" width="14.5546875" style="83" bestFit="1" customWidth="1"/>
    <col min="5" max="5" width="13.88671875" style="83" customWidth="1"/>
    <col min="6" max="6" width="10.77734375" style="83" bestFit="1" customWidth="1"/>
    <col min="7" max="7" width="14.109375" style="83" customWidth="1"/>
    <col min="8" max="8" width="8.88671875" style="83"/>
    <col min="9" max="9" width="16.6640625" style="83" customWidth="1"/>
    <col min="10" max="10" width="11.6640625" style="83" customWidth="1"/>
    <col min="11" max="15" width="8.88671875" style="83"/>
    <col min="16" max="16" width="8.44140625" style="83" customWidth="1"/>
    <col min="17" max="17" width="8.88671875" style="83" hidden="1" customWidth="1"/>
    <col min="18" max="18" width="9.21875" style="83" customWidth="1"/>
    <col min="19" max="21" width="8.88671875" style="83"/>
    <col min="22" max="22" width="16.109375" style="83" customWidth="1"/>
    <col min="23" max="23" width="15.44140625" style="83" customWidth="1"/>
    <col min="24" max="24" width="16.5546875" style="83" customWidth="1"/>
    <col min="25" max="25" width="14.77734375" style="83" customWidth="1"/>
    <col min="26" max="26" width="17.5546875" style="83" customWidth="1"/>
    <col min="27" max="28" width="8.88671875" style="83"/>
    <col min="29" max="29" width="16.44140625" style="83" bestFit="1" customWidth="1"/>
    <col min="30" max="30" width="8.88671875" style="83"/>
    <col min="31" max="31" width="10" style="83" customWidth="1"/>
    <col min="32" max="32" width="12" style="83" customWidth="1"/>
    <col min="33" max="33" width="13.88671875" style="83" customWidth="1"/>
    <col min="34" max="34" width="17.21875" style="83" customWidth="1"/>
    <col min="35" max="35" width="17" style="83" customWidth="1"/>
    <col min="36" max="36" width="19.5546875" style="83" customWidth="1"/>
    <col min="37" max="37" width="16.33203125" style="83" customWidth="1"/>
    <col min="38" max="38" width="17.77734375" style="83" customWidth="1"/>
    <col min="39" max="16384" width="8.88671875" style="83"/>
  </cols>
  <sheetData>
    <row r="1" spans="1:38" ht="18" thickBot="1" x14ac:dyDescent="0.35">
      <c r="A1" s="114" t="s">
        <v>39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R1" s="83" t="s">
        <v>52</v>
      </c>
      <c r="S1" s="83" t="s">
        <v>57</v>
      </c>
      <c r="T1" s="83" t="s">
        <v>207</v>
      </c>
      <c r="U1" s="83" t="s">
        <v>201</v>
      </c>
      <c r="V1" s="83" t="s">
        <v>203</v>
      </c>
      <c r="W1" s="83" t="s">
        <v>205</v>
      </c>
      <c r="X1" s="83" t="s">
        <v>204</v>
      </c>
      <c r="Y1" s="83" t="s">
        <v>210</v>
      </c>
      <c r="Z1" s="83" t="s">
        <v>140</v>
      </c>
      <c r="AA1" s="83" t="s">
        <v>256</v>
      </c>
      <c r="AD1" s="84" t="s">
        <v>52</v>
      </c>
      <c r="AE1" s="82" t="s">
        <v>57</v>
      </c>
      <c r="AF1" s="83" t="s">
        <v>207</v>
      </c>
      <c r="AG1" s="88" t="s">
        <v>206</v>
      </c>
      <c r="AH1" s="82" t="s">
        <v>203</v>
      </c>
      <c r="AI1" s="82" t="s">
        <v>205</v>
      </c>
      <c r="AJ1" s="82" t="s">
        <v>204</v>
      </c>
      <c r="AK1" s="83" t="s">
        <v>209</v>
      </c>
      <c r="AL1" s="83" t="s">
        <v>140</v>
      </c>
    </row>
    <row r="2" spans="1:38" ht="16.2" thickBot="1" x14ac:dyDescent="0.35">
      <c r="A2" s="128" t="s">
        <v>159</v>
      </c>
      <c r="B2" s="129"/>
      <c r="C2" s="129"/>
      <c r="D2" s="129"/>
      <c r="E2" s="129"/>
      <c r="F2" s="129"/>
      <c r="G2" s="129"/>
      <c r="H2" s="129"/>
      <c r="I2" s="130"/>
      <c r="R2" s="82" t="s">
        <v>119</v>
      </c>
      <c r="S2" s="115">
        <v>35</v>
      </c>
      <c r="T2" s="91">
        <v>9.1999999999999993</v>
      </c>
      <c r="U2" s="91">
        <v>3.56</v>
      </c>
      <c r="V2" s="82">
        <v>226800</v>
      </c>
      <c r="W2" s="82">
        <v>2049</v>
      </c>
      <c r="X2" s="82">
        <f>W2*U2-Y2</f>
        <v>6884.64</v>
      </c>
      <c r="Y2" s="82">
        <f>20%*W2</f>
        <v>409.8</v>
      </c>
      <c r="Z2" s="63">
        <f>(X2-Y2)/W2</f>
        <v>3.16</v>
      </c>
      <c r="AA2" s="83">
        <f>(V2*100)/AE34</f>
        <v>90</v>
      </c>
      <c r="AD2" s="83" t="s">
        <v>119</v>
      </c>
      <c r="AE2" s="113">
        <v>105</v>
      </c>
      <c r="AF2" s="94">
        <v>27.200000000000006</v>
      </c>
      <c r="AG2" s="94">
        <v>2.13</v>
      </c>
      <c r="AH2" s="83">
        <v>114896</v>
      </c>
      <c r="AI2" s="83">
        <v>2894</v>
      </c>
      <c r="AJ2" s="83">
        <f>AI2*AG2-AK2</f>
        <v>5585.4199999999992</v>
      </c>
      <c r="AK2" s="83">
        <f>AI2*20%</f>
        <v>578.80000000000007</v>
      </c>
      <c r="AL2" s="96">
        <f>(AJ2-AK2)/AI2</f>
        <v>1.7299999999999995</v>
      </c>
    </row>
    <row r="3" spans="1:38" ht="16.2" thickBot="1" x14ac:dyDescent="0.35">
      <c r="A3" s="108" t="s">
        <v>160</v>
      </c>
      <c r="B3" s="106" t="s">
        <v>35</v>
      </c>
      <c r="C3" s="106"/>
      <c r="D3" s="131" t="s">
        <v>36</v>
      </c>
      <c r="E3" s="131"/>
      <c r="F3" s="106" t="s">
        <v>37</v>
      </c>
      <c r="G3" s="106"/>
      <c r="H3" s="107" t="s">
        <v>38</v>
      </c>
      <c r="I3" s="107"/>
      <c r="R3" s="84" t="s">
        <v>120</v>
      </c>
      <c r="S3" s="115"/>
      <c r="T3" s="91">
        <v>8.8000000000000007</v>
      </c>
      <c r="U3" s="91">
        <v>3.63</v>
      </c>
      <c r="V3" s="82">
        <v>226800</v>
      </c>
      <c r="W3" s="82">
        <v>1985</v>
      </c>
      <c r="X3" s="82">
        <f t="shared" ref="X3:X11" si="0">W3*U3-Y3</f>
        <v>6808.55</v>
      </c>
      <c r="Y3" s="82">
        <f t="shared" ref="Y3:Y11" si="1">20%*W3</f>
        <v>397</v>
      </c>
      <c r="Z3" s="63">
        <f t="shared" ref="Z3:Z11" si="2">(X3-Y3)/W3</f>
        <v>3.23</v>
      </c>
      <c r="AA3" s="83">
        <f t="shared" ref="AA3:AA11" si="3">(V3*100)/AE35</f>
        <v>90</v>
      </c>
      <c r="AD3" s="83" t="s">
        <v>120</v>
      </c>
      <c r="AE3" s="113"/>
      <c r="AF3" s="94">
        <v>26.000000000000004</v>
      </c>
      <c r="AG3" s="94">
        <v>2.17</v>
      </c>
      <c r="AH3" s="83">
        <v>108570</v>
      </c>
      <c r="AI3" s="83">
        <v>2732</v>
      </c>
      <c r="AJ3" s="83">
        <f t="shared" ref="AJ3:AJ11" si="4">AI3*AG3-AK3</f>
        <v>5382.04</v>
      </c>
      <c r="AK3" s="83">
        <f t="shared" ref="AK3:AK11" si="5">AI3*20%</f>
        <v>546.4</v>
      </c>
      <c r="AL3" s="96">
        <f t="shared" ref="AL3:AL11" si="6">(AJ3-AK3)/AI3</f>
        <v>1.77</v>
      </c>
    </row>
    <row r="4" spans="1:38" ht="15.6" x14ac:dyDescent="0.3">
      <c r="A4" s="109"/>
      <c r="B4" s="85">
        <v>1</v>
      </c>
      <c r="C4" s="85">
        <f>'lembar hitung'!P16/'lembar hitung'!P21*1000</f>
        <v>2520</v>
      </c>
      <c r="D4" s="85">
        <v>11</v>
      </c>
      <c r="E4" s="85">
        <f>'lembar hitung'!P16/'lembar hitung'!P21*3200</f>
        <v>8064</v>
      </c>
      <c r="F4" s="85">
        <v>21</v>
      </c>
      <c r="G4" s="85">
        <f>'lembar hitung'!P16/'lembar hitung'!P21*7400</f>
        <v>18648</v>
      </c>
      <c r="H4" s="86">
        <v>31</v>
      </c>
      <c r="I4" s="85">
        <f>'lembar hitung'!P16/'lembar hitung'!P21*13400</f>
        <v>33768</v>
      </c>
      <c r="L4" s="119" t="s">
        <v>158</v>
      </c>
      <c r="M4" s="120"/>
      <c r="N4" s="120"/>
      <c r="O4" s="121"/>
      <c r="R4" s="84" t="s">
        <v>121</v>
      </c>
      <c r="S4" s="115"/>
      <c r="T4" s="91">
        <v>8.4</v>
      </c>
      <c r="U4" s="91">
        <v>3.66</v>
      </c>
      <c r="V4" s="82">
        <v>226800</v>
      </c>
      <c r="W4" s="82">
        <v>1871</v>
      </c>
      <c r="X4" s="82">
        <f t="shared" si="0"/>
        <v>6473.6600000000008</v>
      </c>
      <c r="Y4" s="82">
        <f t="shared" si="1"/>
        <v>374.20000000000005</v>
      </c>
      <c r="Z4" s="63">
        <f t="shared" si="2"/>
        <v>3.2600000000000007</v>
      </c>
      <c r="AA4" s="83">
        <f t="shared" si="3"/>
        <v>90</v>
      </c>
      <c r="AD4" s="83" t="s">
        <v>121</v>
      </c>
      <c r="AE4" s="113"/>
      <c r="AF4" s="94">
        <v>27</v>
      </c>
      <c r="AG4" s="94">
        <v>2.13</v>
      </c>
      <c r="AH4" s="83">
        <v>114896</v>
      </c>
      <c r="AI4" s="83">
        <v>2873</v>
      </c>
      <c r="AJ4" s="83">
        <f t="shared" si="4"/>
        <v>5544.8899999999994</v>
      </c>
      <c r="AK4" s="83">
        <f t="shared" si="5"/>
        <v>574.6</v>
      </c>
      <c r="AL4" s="96">
        <f t="shared" si="6"/>
        <v>1.7299999999999998</v>
      </c>
    </row>
    <row r="5" spans="1:38" ht="15.6" x14ac:dyDescent="0.3">
      <c r="A5" s="109"/>
      <c r="B5" s="85">
        <v>2</v>
      </c>
      <c r="C5" s="85">
        <f>'lembar hitung'!P16/'lembar hitung'!P21*1200</f>
        <v>3024</v>
      </c>
      <c r="D5" s="85">
        <v>12</v>
      </c>
      <c r="E5" s="85">
        <f>'lembar hitung'!P16/'lembar hitung'!P21*3600</f>
        <v>9072</v>
      </c>
      <c r="F5" s="85">
        <v>22</v>
      </c>
      <c r="G5" s="85">
        <f>'lembar hitung'!P16/'lembar hitung'!P21*8000</f>
        <v>20160</v>
      </c>
      <c r="H5" s="86">
        <v>32</v>
      </c>
      <c r="I5" s="85">
        <f>'lembar hitung'!P16/'lembar hitung'!P21*14000</f>
        <v>35280</v>
      </c>
      <c r="L5" s="122"/>
      <c r="M5" s="123"/>
      <c r="N5" s="123"/>
      <c r="O5" s="124"/>
      <c r="R5" s="87" t="s">
        <v>122</v>
      </c>
      <c r="S5" s="115"/>
      <c r="T5" s="91">
        <v>8.6999999999999993</v>
      </c>
      <c r="U5" s="91">
        <v>3.63</v>
      </c>
      <c r="V5" s="82">
        <v>226800</v>
      </c>
      <c r="W5" s="82">
        <v>1962</v>
      </c>
      <c r="X5" s="82">
        <f t="shared" si="0"/>
        <v>6729.66</v>
      </c>
      <c r="Y5" s="82">
        <f t="shared" si="1"/>
        <v>392.40000000000003</v>
      </c>
      <c r="Z5" s="63">
        <f t="shared" si="2"/>
        <v>3.23</v>
      </c>
      <c r="AA5" s="83">
        <f t="shared" si="3"/>
        <v>90</v>
      </c>
      <c r="AD5" s="83" t="s">
        <v>122</v>
      </c>
      <c r="AE5" s="113"/>
      <c r="AF5" s="94">
        <v>25.8</v>
      </c>
      <c r="AG5" s="94">
        <v>2.17</v>
      </c>
      <c r="AH5" s="83">
        <v>108570</v>
      </c>
      <c r="AI5" s="83">
        <v>2595</v>
      </c>
      <c r="AJ5" s="83">
        <f t="shared" si="4"/>
        <v>5112.1499999999996</v>
      </c>
      <c r="AK5" s="83">
        <f t="shared" si="5"/>
        <v>519</v>
      </c>
      <c r="AL5" s="96">
        <f t="shared" si="6"/>
        <v>1.7699999999999998</v>
      </c>
    </row>
    <row r="6" spans="1:38" ht="15.6" x14ac:dyDescent="0.3">
      <c r="A6" s="109"/>
      <c r="B6" s="85">
        <v>3</v>
      </c>
      <c r="C6" s="85">
        <f>'lembar hitung'!P16/'lembar hitung'!P21*1400</f>
        <v>3528</v>
      </c>
      <c r="D6" s="85">
        <v>13</v>
      </c>
      <c r="E6" s="85">
        <f>'lembar hitung'!P16/'lembar hitung'!P21*4000</f>
        <v>10080</v>
      </c>
      <c r="F6" s="85">
        <v>23</v>
      </c>
      <c r="G6" s="85">
        <f>'lembar hitung'!P16/'lembar hitung'!P21*8600</f>
        <v>21672</v>
      </c>
      <c r="H6" s="86">
        <v>33</v>
      </c>
      <c r="I6" s="85">
        <f>'lembar hitung'!P16/'lembar hitung'!P21*14600</f>
        <v>36792</v>
      </c>
      <c r="L6" s="122"/>
      <c r="M6" s="123"/>
      <c r="N6" s="123"/>
      <c r="O6" s="124"/>
      <c r="R6" s="88" t="s">
        <v>123</v>
      </c>
      <c r="S6" s="115"/>
      <c r="T6" s="91">
        <v>8.8000000000000007</v>
      </c>
      <c r="U6" s="91">
        <v>3.63</v>
      </c>
      <c r="V6" s="82">
        <v>226800</v>
      </c>
      <c r="W6" s="82">
        <v>1985</v>
      </c>
      <c r="X6" s="82">
        <f t="shared" si="0"/>
        <v>6808.55</v>
      </c>
      <c r="Y6" s="82">
        <f t="shared" si="1"/>
        <v>397</v>
      </c>
      <c r="Z6" s="63">
        <f t="shared" si="2"/>
        <v>3.23</v>
      </c>
      <c r="AA6" s="83">
        <f t="shared" si="3"/>
        <v>90</v>
      </c>
      <c r="AD6" s="83" t="s">
        <v>123</v>
      </c>
      <c r="AE6" s="113"/>
      <c r="AF6" s="94">
        <v>27.400000000000002</v>
      </c>
      <c r="AG6" s="94">
        <v>2.12</v>
      </c>
      <c r="AH6" s="83">
        <v>108570</v>
      </c>
      <c r="AI6" s="83">
        <v>2880</v>
      </c>
      <c r="AJ6" s="83">
        <f t="shared" si="4"/>
        <v>5529.6</v>
      </c>
      <c r="AK6" s="83">
        <f t="shared" si="5"/>
        <v>576</v>
      </c>
      <c r="AL6" s="96">
        <f t="shared" si="6"/>
        <v>1.7200000000000002</v>
      </c>
    </row>
    <row r="7" spans="1:38" ht="15.6" x14ac:dyDescent="0.3">
      <c r="A7" s="109"/>
      <c r="B7" s="85">
        <v>4</v>
      </c>
      <c r="C7" s="85">
        <f>'lembar hitung'!P16/'lembar hitung'!P21*1600</f>
        <v>4032</v>
      </c>
      <c r="D7" s="85">
        <v>14</v>
      </c>
      <c r="E7" s="85">
        <f>'lembar hitung'!P16/'lembar hitung'!P21*4400</f>
        <v>11088</v>
      </c>
      <c r="F7" s="85">
        <v>24</v>
      </c>
      <c r="G7" s="85">
        <f>'lembar hitung'!P16/'lembar hitung'!P21*9200</f>
        <v>23184</v>
      </c>
      <c r="H7" s="86">
        <v>34</v>
      </c>
      <c r="I7" s="85">
        <f>'lembar hitung'!P16/'lembar hitung'!P21*15200</f>
        <v>38304</v>
      </c>
      <c r="L7" s="122"/>
      <c r="M7" s="123"/>
      <c r="N7" s="123"/>
      <c r="O7" s="124"/>
      <c r="R7" s="88" t="s">
        <v>50</v>
      </c>
      <c r="S7" s="115"/>
      <c r="T7" s="91">
        <v>9.1</v>
      </c>
      <c r="U7" s="91">
        <v>3.63</v>
      </c>
      <c r="V7" s="82">
        <v>215730</v>
      </c>
      <c r="W7" s="82">
        <v>1963</v>
      </c>
      <c r="X7" s="82">
        <f t="shared" si="0"/>
        <v>6733.0899999999992</v>
      </c>
      <c r="Y7" s="82">
        <f t="shared" si="1"/>
        <v>392.6</v>
      </c>
      <c r="Z7" s="63">
        <f t="shared" si="2"/>
        <v>3.2299999999999995</v>
      </c>
      <c r="AA7" s="83">
        <f t="shared" si="3"/>
        <v>85.607142857142861</v>
      </c>
      <c r="AD7" s="83" t="s">
        <v>50</v>
      </c>
      <c r="AE7" s="113"/>
      <c r="AF7" s="94">
        <v>28.1</v>
      </c>
      <c r="AG7" s="94">
        <v>2.1</v>
      </c>
      <c r="AH7" s="83">
        <v>75326</v>
      </c>
      <c r="AI7" s="83">
        <v>1962</v>
      </c>
      <c r="AJ7" s="83">
        <f t="shared" si="4"/>
        <v>3727.7999999999997</v>
      </c>
      <c r="AK7" s="83">
        <f t="shared" si="5"/>
        <v>392.40000000000003</v>
      </c>
      <c r="AL7" s="96">
        <f t="shared" si="6"/>
        <v>1.6999999999999997</v>
      </c>
    </row>
    <row r="8" spans="1:38" ht="16.2" thickBot="1" x14ac:dyDescent="0.35">
      <c r="A8" s="109"/>
      <c r="B8" s="85">
        <v>5</v>
      </c>
      <c r="C8" s="85">
        <f>'lembar hitung'!P16/'lembar hitung'!P21*1800</f>
        <v>4536</v>
      </c>
      <c r="D8" s="85">
        <v>15</v>
      </c>
      <c r="E8" s="85">
        <f>'lembar hitung'!P16/'lembar hitung'!P21*4800</f>
        <v>12096</v>
      </c>
      <c r="F8" s="85">
        <v>25</v>
      </c>
      <c r="G8" s="85">
        <f>'lembar hitung'!P16/'lembar hitung'!P21*9800</f>
        <v>24696</v>
      </c>
      <c r="H8" s="86">
        <v>35</v>
      </c>
      <c r="I8" s="85">
        <f>'lembar hitung'!P16/'lembar hitung'!P21*15800</f>
        <v>39816</v>
      </c>
      <c r="L8" s="125"/>
      <c r="M8" s="126"/>
      <c r="N8" s="126"/>
      <c r="O8" s="127"/>
      <c r="R8" s="88" t="s">
        <v>49</v>
      </c>
      <c r="S8" s="115"/>
      <c r="T8" s="91">
        <v>9</v>
      </c>
      <c r="U8" s="91">
        <v>3.63</v>
      </c>
      <c r="V8" s="82">
        <v>189363</v>
      </c>
      <c r="W8" s="82">
        <v>1704</v>
      </c>
      <c r="X8" s="82">
        <f t="shared" si="0"/>
        <v>5844.7199999999993</v>
      </c>
      <c r="Y8" s="82">
        <f t="shared" si="1"/>
        <v>340.8</v>
      </c>
      <c r="Z8" s="63">
        <f t="shared" si="2"/>
        <v>3.2299999999999995</v>
      </c>
      <c r="AA8" s="83">
        <f t="shared" si="3"/>
        <v>75.144047619047626</v>
      </c>
      <c r="AD8" s="83" t="s">
        <v>49</v>
      </c>
      <c r="AE8" s="113"/>
      <c r="AF8" s="94">
        <v>26.1</v>
      </c>
      <c r="AG8" s="94">
        <v>2.16</v>
      </c>
      <c r="AH8" s="83">
        <v>77459</v>
      </c>
      <c r="AI8" s="83">
        <v>1962</v>
      </c>
      <c r="AJ8" s="83">
        <f t="shared" si="4"/>
        <v>3845.52</v>
      </c>
      <c r="AK8" s="83">
        <f t="shared" si="5"/>
        <v>392.40000000000003</v>
      </c>
      <c r="AL8" s="96">
        <f t="shared" si="6"/>
        <v>1.76</v>
      </c>
    </row>
    <row r="9" spans="1:38" ht="15.6" x14ac:dyDescent="0.3">
      <c r="A9" s="109"/>
      <c r="B9" s="85">
        <v>6</v>
      </c>
      <c r="C9" s="85">
        <f>'lembar hitung'!P16/'lembar hitung'!P21*2000</f>
        <v>5040</v>
      </c>
      <c r="D9" s="85">
        <v>16</v>
      </c>
      <c r="E9" s="85">
        <f>'lembar hitung'!P16/'lembar hitung'!P21*5200</f>
        <v>13104</v>
      </c>
      <c r="F9" s="85">
        <v>26</v>
      </c>
      <c r="G9" s="85">
        <f>'lembar hitung'!P16/'lembar hitung'!P21*10400</f>
        <v>26208</v>
      </c>
      <c r="H9" s="97"/>
      <c r="I9" s="85"/>
      <c r="R9" s="87" t="s">
        <v>48</v>
      </c>
      <c r="S9" s="115"/>
      <c r="T9" s="91">
        <v>8.8000000000000007</v>
      </c>
      <c r="U9" s="91">
        <v>3.63</v>
      </c>
      <c r="V9" s="82">
        <v>191760</v>
      </c>
      <c r="W9" s="82">
        <v>1687</v>
      </c>
      <c r="X9" s="82">
        <f t="shared" si="0"/>
        <v>5786.41</v>
      </c>
      <c r="Y9" s="82">
        <f t="shared" si="1"/>
        <v>337.40000000000003</v>
      </c>
      <c r="Z9" s="63">
        <f t="shared" si="2"/>
        <v>3.23</v>
      </c>
      <c r="AA9" s="83">
        <f t="shared" si="3"/>
        <v>76.095238095238102</v>
      </c>
      <c r="AD9" s="83" t="s">
        <v>48</v>
      </c>
      <c r="AE9" s="113"/>
      <c r="AF9" s="94">
        <v>28.000000000000004</v>
      </c>
      <c r="AG9" s="94">
        <v>2.1</v>
      </c>
      <c r="AH9" s="83">
        <v>73530</v>
      </c>
      <c r="AI9" s="83">
        <v>1934</v>
      </c>
      <c r="AJ9" s="83">
        <f t="shared" si="4"/>
        <v>3674.6</v>
      </c>
      <c r="AK9" s="83">
        <f t="shared" si="5"/>
        <v>386.8</v>
      </c>
      <c r="AL9" s="96">
        <f t="shared" si="6"/>
        <v>1.7</v>
      </c>
    </row>
    <row r="10" spans="1:38" ht="15.6" x14ac:dyDescent="0.3">
      <c r="A10" s="109"/>
      <c r="B10" s="85">
        <v>7</v>
      </c>
      <c r="C10" s="85">
        <f>'lembar hitung'!P16/'lembar hitung'!P21*2200</f>
        <v>5544</v>
      </c>
      <c r="D10" s="85">
        <v>17</v>
      </c>
      <c r="E10" s="85">
        <f>'lembar hitung'!P16/'lembar hitung'!P21*5600</f>
        <v>14112</v>
      </c>
      <c r="F10" s="85">
        <v>27</v>
      </c>
      <c r="G10" s="85">
        <f>'lembar hitung'!P16/'lembar hitung'!P21*11000</f>
        <v>27720</v>
      </c>
      <c r="H10" s="97"/>
      <c r="I10" s="85"/>
      <c r="R10" s="84" t="s">
        <v>47</v>
      </c>
      <c r="S10" s="115"/>
      <c r="T10" s="91">
        <v>8.9</v>
      </c>
      <c r="U10" s="91">
        <v>3.63</v>
      </c>
      <c r="V10" s="82">
        <v>191760</v>
      </c>
      <c r="W10" s="82">
        <v>1706</v>
      </c>
      <c r="X10" s="82">
        <f t="shared" si="0"/>
        <v>5851.58</v>
      </c>
      <c r="Y10" s="82">
        <f t="shared" si="1"/>
        <v>341.20000000000005</v>
      </c>
      <c r="Z10" s="63">
        <f t="shared" si="2"/>
        <v>3.23</v>
      </c>
      <c r="AA10" s="83">
        <f t="shared" si="3"/>
        <v>76.095238095238102</v>
      </c>
      <c r="AD10" s="83" t="s">
        <v>47</v>
      </c>
      <c r="AE10" s="113"/>
      <c r="AF10" s="94">
        <v>26.500000000000007</v>
      </c>
      <c r="AG10" s="94">
        <v>2.15</v>
      </c>
      <c r="AH10" s="83">
        <v>73530</v>
      </c>
      <c r="AI10" s="83">
        <v>1830</v>
      </c>
      <c r="AJ10" s="83">
        <f t="shared" si="4"/>
        <v>3568.5</v>
      </c>
      <c r="AK10" s="83">
        <f t="shared" si="5"/>
        <v>366</v>
      </c>
      <c r="AL10" s="96">
        <f t="shared" si="6"/>
        <v>1.75</v>
      </c>
    </row>
    <row r="11" spans="1:38" ht="15.6" x14ac:dyDescent="0.3">
      <c r="A11" s="109"/>
      <c r="B11" s="85">
        <v>8</v>
      </c>
      <c r="C11" s="85">
        <f>'lembar hitung'!P16/'lembar hitung'!P21*2400</f>
        <v>6048</v>
      </c>
      <c r="D11" s="85">
        <v>18</v>
      </c>
      <c r="E11" s="85">
        <f>'lembar hitung'!P16/'lembar hitung'!P21*6000</f>
        <v>15120</v>
      </c>
      <c r="F11" s="85">
        <v>28</v>
      </c>
      <c r="G11" s="85">
        <f>'lembar hitung'!P16/'lembar hitung'!P21*11600</f>
        <v>29232</v>
      </c>
      <c r="H11" s="97"/>
      <c r="I11" s="85"/>
      <c r="R11" s="88" t="s">
        <v>46</v>
      </c>
      <c r="S11" s="115"/>
      <c r="T11" s="91">
        <v>8.9</v>
      </c>
      <c r="U11" s="91">
        <v>3.65</v>
      </c>
      <c r="V11" s="82">
        <v>189363</v>
      </c>
      <c r="W11" s="82">
        <v>1685</v>
      </c>
      <c r="X11" s="82">
        <f t="shared" si="0"/>
        <v>5813.25</v>
      </c>
      <c r="Y11" s="82">
        <f t="shared" si="1"/>
        <v>337</v>
      </c>
      <c r="Z11" s="63">
        <f t="shared" si="2"/>
        <v>3.25</v>
      </c>
      <c r="AA11" s="83">
        <f t="shared" si="3"/>
        <v>75.144047619047626</v>
      </c>
      <c r="AD11" s="83" t="s">
        <v>46</v>
      </c>
      <c r="AE11" s="113"/>
      <c r="AF11" s="94">
        <v>26.1</v>
      </c>
      <c r="AG11" s="94">
        <v>2.16</v>
      </c>
      <c r="AH11" s="83">
        <v>77459</v>
      </c>
      <c r="AI11" s="83">
        <v>1962</v>
      </c>
      <c r="AJ11" s="83">
        <f t="shared" si="4"/>
        <v>3845.52</v>
      </c>
      <c r="AK11" s="83">
        <f t="shared" si="5"/>
        <v>392.40000000000003</v>
      </c>
      <c r="AL11" s="96">
        <f t="shared" si="6"/>
        <v>1.76</v>
      </c>
    </row>
    <row r="12" spans="1:38" ht="15.6" x14ac:dyDescent="0.3">
      <c r="A12" s="109"/>
      <c r="B12" s="85">
        <v>9</v>
      </c>
      <c r="C12" s="85">
        <f>'lembar hitung'!P16/'lembar hitung'!P21*2600</f>
        <v>6552</v>
      </c>
      <c r="D12" s="85">
        <v>19</v>
      </c>
      <c r="E12" s="85">
        <f>'lembar hitung'!P16/'lembar hitung'!P21*6400</f>
        <v>16128</v>
      </c>
      <c r="F12" s="85">
        <v>29</v>
      </c>
      <c r="G12" s="85">
        <f>'lembar hitung'!P16/'lembar hitung'!P21*12200</f>
        <v>30744</v>
      </c>
      <c r="H12" s="97"/>
      <c r="I12" s="85"/>
      <c r="R12" s="116"/>
      <c r="S12" s="116"/>
      <c r="T12" s="91"/>
      <c r="U12" s="91"/>
      <c r="V12" s="82"/>
      <c r="W12" s="82"/>
      <c r="X12" s="82"/>
      <c r="Y12" s="88"/>
      <c r="AA12" s="83">
        <f>AVERAGE(AA2:AA11)</f>
        <v>83.808571428571412</v>
      </c>
    </row>
    <row r="13" spans="1:38" ht="16.2" thickBot="1" x14ac:dyDescent="0.35">
      <c r="A13" s="110"/>
      <c r="B13" s="89">
        <v>10</v>
      </c>
      <c r="C13" s="89">
        <f>'lembar hitung'!P16/'lembar hitung'!P21*2800</f>
        <v>7056</v>
      </c>
      <c r="D13" s="89">
        <v>20</v>
      </c>
      <c r="E13" s="89">
        <f>'lembar hitung'!P16/'lembar hitung'!P21*6800</f>
        <v>17136</v>
      </c>
      <c r="F13" s="89">
        <v>30</v>
      </c>
      <c r="G13" s="89">
        <f>'lembar hitung'!P16/'lembar hitung'!P21*12800</f>
        <v>32256</v>
      </c>
      <c r="H13" s="98"/>
      <c r="I13" s="89"/>
      <c r="R13" s="88"/>
      <c r="S13" s="82"/>
      <c r="T13" s="82"/>
      <c r="U13" s="82"/>
      <c r="V13" s="82"/>
      <c r="W13" s="82"/>
      <c r="X13" s="82"/>
      <c r="Y13" s="88"/>
    </row>
    <row r="14" spans="1:38" ht="15.6" x14ac:dyDescent="0.3">
      <c r="R14" s="87" t="s">
        <v>52</v>
      </c>
      <c r="S14" s="82" t="s">
        <v>57</v>
      </c>
      <c r="T14" s="83" t="s">
        <v>207</v>
      </c>
      <c r="U14" s="82" t="s">
        <v>206</v>
      </c>
      <c r="V14" s="82" t="s">
        <v>203</v>
      </c>
      <c r="W14" s="82" t="s">
        <v>205</v>
      </c>
      <c r="X14" s="82" t="s">
        <v>204</v>
      </c>
      <c r="Y14" s="83" t="s">
        <v>210</v>
      </c>
      <c r="Z14" s="83" t="s">
        <v>140</v>
      </c>
      <c r="AD14" s="84" t="s">
        <v>52</v>
      </c>
      <c r="AE14" s="82" t="s">
        <v>57</v>
      </c>
      <c r="AF14" s="83" t="s">
        <v>207</v>
      </c>
      <c r="AG14" s="88" t="s">
        <v>206</v>
      </c>
      <c r="AH14" s="82" t="s">
        <v>203</v>
      </c>
      <c r="AI14" s="82" t="s">
        <v>205</v>
      </c>
      <c r="AJ14" s="82" t="s">
        <v>204</v>
      </c>
      <c r="AK14" s="83" t="s">
        <v>209</v>
      </c>
      <c r="AL14" s="83" t="s">
        <v>140</v>
      </c>
    </row>
    <row r="15" spans="1:38" ht="15.6" x14ac:dyDescent="0.3">
      <c r="R15" s="88" t="s">
        <v>119</v>
      </c>
      <c r="S15" s="115">
        <v>45</v>
      </c>
      <c r="T15" s="92">
        <v>11.5</v>
      </c>
      <c r="U15" s="92">
        <v>3.24</v>
      </c>
      <c r="V15" s="82">
        <v>226800</v>
      </c>
      <c r="W15" s="82">
        <v>2608</v>
      </c>
      <c r="X15" s="82">
        <f>W15*U15-Y15</f>
        <v>7928.32</v>
      </c>
      <c r="Y15" s="88">
        <f>20%*W15</f>
        <v>521.6</v>
      </c>
      <c r="Z15" s="96">
        <f>(X15-Y15)/W15</f>
        <v>2.84</v>
      </c>
      <c r="AD15" s="83" t="s">
        <v>119</v>
      </c>
      <c r="AE15" s="113">
        <v>120</v>
      </c>
      <c r="AF15" s="94">
        <v>30.300000000000008</v>
      </c>
      <c r="AG15" s="94">
        <v>2.0299999999999998</v>
      </c>
      <c r="AH15" s="83">
        <v>82896</v>
      </c>
      <c r="AI15" s="83">
        <v>3224</v>
      </c>
      <c r="AJ15" s="83">
        <f>AI15*AG15-AK15</f>
        <v>5899.9199999999992</v>
      </c>
      <c r="AK15" s="93">
        <f>AI15*20%</f>
        <v>644.80000000000007</v>
      </c>
      <c r="AL15" s="94">
        <f>(AJ15-AK15)/AI15</f>
        <v>1.6299999999999997</v>
      </c>
    </row>
    <row r="16" spans="1:38" ht="15.6" x14ac:dyDescent="0.3">
      <c r="R16" s="84" t="s">
        <v>120</v>
      </c>
      <c r="S16" s="115"/>
      <c r="T16" s="92">
        <v>10.9</v>
      </c>
      <c r="U16" s="92">
        <v>3.31</v>
      </c>
      <c r="V16" s="82">
        <v>226800</v>
      </c>
      <c r="W16" s="82">
        <v>2472</v>
      </c>
      <c r="X16" s="82">
        <f t="shared" ref="X16:X24" si="7">W16*U16-Y16</f>
        <v>7687.92</v>
      </c>
      <c r="Y16" s="88">
        <f t="shared" ref="Y16:Y24" si="8">20%*W16</f>
        <v>494.40000000000003</v>
      </c>
      <c r="Z16" s="96">
        <f t="shared" ref="Z16:Z24" si="9">(X16-Y16)/W16</f>
        <v>2.91</v>
      </c>
      <c r="AD16" s="83" t="s">
        <v>120</v>
      </c>
      <c r="AE16" s="113"/>
      <c r="AF16" s="94">
        <v>29.300000000000004</v>
      </c>
      <c r="AG16" s="94">
        <v>2.06</v>
      </c>
      <c r="AH16" s="83">
        <v>76570</v>
      </c>
      <c r="AI16" s="83">
        <v>3079</v>
      </c>
      <c r="AJ16" s="83">
        <f t="shared" ref="AJ16:AJ24" si="10">AI16*AG16-AK16</f>
        <v>5726.94</v>
      </c>
      <c r="AK16" s="93">
        <f t="shared" ref="AK16:AK24" si="11">AI16*20%</f>
        <v>615.80000000000007</v>
      </c>
      <c r="AL16" s="94">
        <f t="shared" ref="AL16:AL24" si="12">(AJ16-AK16)/AI16</f>
        <v>1.66</v>
      </c>
    </row>
    <row r="17" spans="1:38" ht="15.6" x14ac:dyDescent="0.3">
      <c r="A17" s="112" t="s">
        <v>51</v>
      </c>
      <c r="B17" s="112" t="s">
        <v>57</v>
      </c>
      <c r="C17" s="112" t="s">
        <v>58</v>
      </c>
      <c r="D17" s="111" t="s">
        <v>59</v>
      </c>
      <c r="E17" s="111"/>
      <c r="F17" s="111"/>
      <c r="G17" s="111"/>
      <c r="H17" s="111"/>
      <c r="I17" s="112" t="s">
        <v>63</v>
      </c>
      <c r="J17" s="112" t="s">
        <v>60</v>
      </c>
      <c r="R17" s="88" t="s">
        <v>121</v>
      </c>
      <c r="S17" s="115"/>
      <c r="T17" s="92">
        <v>10.8</v>
      </c>
      <c r="U17" s="92">
        <v>3.32</v>
      </c>
      <c r="V17" s="82">
        <v>226800</v>
      </c>
      <c r="W17" s="82">
        <v>2449</v>
      </c>
      <c r="X17" s="82">
        <f t="shared" si="7"/>
        <v>7640.8799999999992</v>
      </c>
      <c r="Y17" s="88">
        <f t="shared" si="8"/>
        <v>489.8</v>
      </c>
      <c r="Z17" s="96">
        <f t="shared" si="9"/>
        <v>2.9199999999999995</v>
      </c>
      <c r="AD17" s="83" t="s">
        <v>121</v>
      </c>
      <c r="AE17" s="113"/>
      <c r="AF17" s="94">
        <v>30.4</v>
      </c>
      <c r="AG17" s="94">
        <v>2.02</v>
      </c>
      <c r="AH17" s="83">
        <v>82896</v>
      </c>
      <c r="AI17" s="83">
        <v>3234</v>
      </c>
      <c r="AJ17" s="83">
        <f t="shared" si="10"/>
        <v>5885.88</v>
      </c>
      <c r="AK17" s="93">
        <f t="shared" si="11"/>
        <v>646.80000000000007</v>
      </c>
      <c r="AL17" s="94">
        <f t="shared" si="12"/>
        <v>1.6199999999999999</v>
      </c>
    </row>
    <row r="18" spans="1:38" ht="15.6" x14ac:dyDescent="0.3">
      <c r="A18" s="112"/>
      <c r="B18" s="112"/>
      <c r="C18" s="112"/>
      <c r="D18" s="81">
        <v>7</v>
      </c>
      <c r="E18" s="81">
        <v>10</v>
      </c>
      <c r="F18" s="81">
        <v>13</v>
      </c>
      <c r="G18" s="81">
        <v>16</v>
      </c>
      <c r="H18" s="81">
        <v>19</v>
      </c>
      <c r="I18" s="112"/>
      <c r="J18" s="112"/>
      <c r="R18" s="88" t="s">
        <v>122</v>
      </c>
      <c r="S18" s="115"/>
      <c r="T18" s="92">
        <v>10.899999999999999</v>
      </c>
      <c r="U18" s="92">
        <v>3.31</v>
      </c>
      <c r="V18" s="82">
        <v>226800</v>
      </c>
      <c r="W18" s="82">
        <v>2472</v>
      </c>
      <c r="X18" s="82">
        <f t="shared" si="7"/>
        <v>7687.92</v>
      </c>
      <c r="Y18" s="88">
        <f t="shared" si="8"/>
        <v>494.40000000000003</v>
      </c>
      <c r="Z18" s="96">
        <f t="shared" si="9"/>
        <v>2.91</v>
      </c>
      <c r="AD18" s="83" t="s">
        <v>122</v>
      </c>
      <c r="AE18" s="113"/>
      <c r="AF18" s="94">
        <v>28.6</v>
      </c>
      <c r="AG18" s="94">
        <v>2.08</v>
      </c>
      <c r="AH18" s="83">
        <v>76570</v>
      </c>
      <c r="AI18" s="83">
        <v>2877</v>
      </c>
      <c r="AJ18" s="83">
        <f t="shared" si="10"/>
        <v>5408.76</v>
      </c>
      <c r="AK18" s="93">
        <f t="shared" si="11"/>
        <v>575.4</v>
      </c>
      <c r="AL18" s="94">
        <f t="shared" si="12"/>
        <v>1.6800000000000002</v>
      </c>
    </row>
    <row r="19" spans="1:38" ht="15.6" x14ac:dyDescent="0.3">
      <c r="A19" s="46">
        <v>45389</v>
      </c>
      <c r="B19" s="81">
        <v>1</v>
      </c>
      <c r="C19" s="81">
        <v>0</v>
      </c>
      <c r="D19" s="81">
        <f>I19/3</f>
        <v>840</v>
      </c>
      <c r="E19" s="81">
        <f>D19</f>
        <v>840</v>
      </c>
      <c r="F19" s="81">
        <f>E19</f>
        <v>840</v>
      </c>
      <c r="G19" s="81"/>
      <c r="H19" s="81"/>
      <c r="I19" s="81">
        <v>2520</v>
      </c>
      <c r="J19" s="81">
        <f>I19*10</f>
        <v>25200</v>
      </c>
      <c r="R19" s="88" t="s">
        <v>123</v>
      </c>
      <c r="S19" s="115"/>
      <c r="T19" s="92">
        <v>11.200000000000001</v>
      </c>
      <c r="U19" s="92">
        <v>3.28</v>
      </c>
      <c r="V19" s="82">
        <v>226800</v>
      </c>
      <c r="W19" s="82">
        <v>2540</v>
      </c>
      <c r="X19" s="82">
        <f t="shared" si="7"/>
        <v>7823.1999999999989</v>
      </c>
      <c r="Y19" s="88">
        <f t="shared" si="8"/>
        <v>508</v>
      </c>
      <c r="Z19" s="96">
        <f t="shared" si="9"/>
        <v>2.8799999999999994</v>
      </c>
      <c r="AD19" s="83" t="s">
        <v>123</v>
      </c>
      <c r="AE19" s="113"/>
      <c r="AF19" s="94">
        <v>30.400000000000002</v>
      </c>
      <c r="AG19" s="94">
        <v>2.02</v>
      </c>
      <c r="AH19" s="83">
        <v>76570</v>
      </c>
      <c r="AI19" s="83">
        <v>3195</v>
      </c>
      <c r="AJ19" s="83">
        <f t="shared" si="10"/>
        <v>5814.9</v>
      </c>
      <c r="AK19" s="93">
        <f t="shared" si="11"/>
        <v>639</v>
      </c>
      <c r="AL19" s="94">
        <f t="shared" si="12"/>
        <v>1.6199999999999999</v>
      </c>
    </row>
    <row r="20" spans="1:38" ht="15.6" x14ac:dyDescent="0.3">
      <c r="A20" s="46">
        <v>45390</v>
      </c>
      <c r="B20" s="81">
        <v>2</v>
      </c>
      <c r="C20" s="81">
        <v>0</v>
      </c>
      <c r="D20" s="81">
        <f t="shared" ref="D20:D33" si="13">I20/3</f>
        <v>1008</v>
      </c>
      <c r="E20" s="81">
        <f t="shared" ref="E20:F20" si="14">D20</f>
        <v>1008</v>
      </c>
      <c r="F20" s="81">
        <f t="shared" si="14"/>
        <v>1008</v>
      </c>
      <c r="G20" s="81"/>
      <c r="H20" s="81"/>
      <c r="I20" s="81">
        <f t="shared" ref="I20:I28" si="15">C5</f>
        <v>3024</v>
      </c>
      <c r="J20" s="81">
        <f t="shared" ref="J20:J53" si="16">I20*10</f>
        <v>30240</v>
      </c>
      <c r="R20" s="88" t="s">
        <v>50</v>
      </c>
      <c r="S20" s="115"/>
      <c r="T20" s="92">
        <v>11.6</v>
      </c>
      <c r="U20" s="92">
        <v>3.23</v>
      </c>
      <c r="V20" s="82">
        <v>215730</v>
      </c>
      <c r="W20" s="82">
        <v>2502</v>
      </c>
      <c r="X20" s="82">
        <f t="shared" si="7"/>
        <v>7581.06</v>
      </c>
      <c r="Y20" s="88">
        <f t="shared" si="8"/>
        <v>500.40000000000003</v>
      </c>
      <c r="Z20" s="96">
        <f t="shared" si="9"/>
        <v>2.8300000000000005</v>
      </c>
      <c r="AD20" s="83" t="s">
        <v>50</v>
      </c>
      <c r="AE20" s="113"/>
      <c r="AF20" s="94">
        <v>31.400000000000002</v>
      </c>
      <c r="AG20" s="94">
        <v>2</v>
      </c>
      <c r="AH20" s="83">
        <v>43326</v>
      </c>
      <c r="AI20" s="83">
        <v>2152</v>
      </c>
      <c r="AJ20" s="83">
        <f t="shared" si="10"/>
        <v>3873.6</v>
      </c>
      <c r="AK20" s="93">
        <f t="shared" si="11"/>
        <v>430.40000000000003</v>
      </c>
      <c r="AL20" s="94">
        <f t="shared" si="12"/>
        <v>1.5999999999999999</v>
      </c>
    </row>
    <row r="21" spans="1:38" ht="15.6" x14ac:dyDescent="0.3">
      <c r="A21" s="46">
        <v>45391</v>
      </c>
      <c r="B21" s="81">
        <v>3</v>
      </c>
      <c r="C21" s="81">
        <v>0</v>
      </c>
      <c r="D21" s="81">
        <f t="shared" si="13"/>
        <v>1176</v>
      </c>
      <c r="E21" s="81">
        <f t="shared" ref="E21:F21" si="17">D21</f>
        <v>1176</v>
      </c>
      <c r="F21" s="81">
        <f t="shared" si="17"/>
        <v>1176</v>
      </c>
      <c r="G21" s="81"/>
      <c r="H21" s="81"/>
      <c r="I21" s="81">
        <f t="shared" si="15"/>
        <v>3528</v>
      </c>
      <c r="J21" s="81">
        <f t="shared" si="16"/>
        <v>35280</v>
      </c>
      <c r="R21" s="88" t="s">
        <v>49</v>
      </c>
      <c r="S21" s="115"/>
      <c r="T21" s="92">
        <v>11.2</v>
      </c>
      <c r="U21" s="92">
        <v>3.28</v>
      </c>
      <c r="V21" s="82">
        <v>189363</v>
      </c>
      <c r="W21" s="82">
        <v>2120</v>
      </c>
      <c r="X21" s="82">
        <f t="shared" si="7"/>
        <v>6529.5999999999995</v>
      </c>
      <c r="Y21" s="88">
        <f t="shared" si="8"/>
        <v>424</v>
      </c>
      <c r="Z21" s="96">
        <f t="shared" si="9"/>
        <v>2.88</v>
      </c>
      <c r="AD21" s="83" t="s">
        <v>49</v>
      </c>
      <c r="AE21" s="113"/>
      <c r="AF21" s="94">
        <v>29.200000000000003</v>
      </c>
      <c r="AG21" s="94">
        <v>2.06</v>
      </c>
      <c r="AH21" s="83">
        <v>45459</v>
      </c>
      <c r="AI21" s="83">
        <v>2195</v>
      </c>
      <c r="AJ21" s="83">
        <f t="shared" si="10"/>
        <v>4082.7</v>
      </c>
      <c r="AK21" s="93">
        <f t="shared" si="11"/>
        <v>439</v>
      </c>
      <c r="AL21" s="94">
        <f t="shared" si="12"/>
        <v>1.66</v>
      </c>
    </row>
    <row r="22" spans="1:38" ht="15.6" x14ac:dyDescent="0.3">
      <c r="A22" s="46">
        <v>45392</v>
      </c>
      <c r="B22" s="81">
        <v>4</v>
      </c>
      <c r="C22" s="81">
        <v>0</v>
      </c>
      <c r="D22" s="81">
        <f t="shared" si="13"/>
        <v>1344</v>
      </c>
      <c r="E22" s="81">
        <f t="shared" ref="E22:F22" si="18">D22</f>
        <v>1344</v>
      </c>
      <c r="F22" s="81">
        <f t="shared" si="18"/>
        <v>1344</v>
      </c>
      <c r="G22" s="81"/>
      <c r="H22" s="81"/>
      <c r="I22" s="81">
        <f t="shared" si="15"/>
        <v>4032</v>
      </c>
      <c r="J22" s="81">
        <f t="shared" si="16"/>
        <v>40320</v>
      </c>
      <c r="R22" s="88" t="s">
        <v>48</v>
      </c>
      <c r="S22" s="115"/>
      <c r="T22" s="92">
        <v>11.4</v>
      </c>
      <c r="U22" s="92">
        <v>3.25</v>
      </c>
      <c r="V22" s="82">
        <v>191760</v>
      </c>
      <c r="W22" s="82">
        <v>2186</v>
      </c>
      <c r="X22" s="82">
        <f t="shared" si="7"/>
        <v>6667.3</v>
      </c>
      <c r="Y22" s="88">
        <f t="shared" si="8"/>
        <v>437.20000000000005</v>
      </c>
      <c r="Z22" s="96">
        <f t="shared" si="9"/>
        <v>2.85</v>
      </c>
      <c r="AD22" s="83" t="s">
        <v>48</v>
      </c>
      <c r="AE22" s="113"/>
      <c r="AF22" s="94">
        <v>31.500000000000004</v>
      </c>
      <c r="AG22" s="94" t="s">
        <v>208</v>
      </c>
      <c r="AH22" s="83">
        <v>41530</v>
      </c>
      <c r="AI22" s="83">
        <v>2175</v>
      </c>
      <c r="AJ22" s="83">
        <v>4345</v>
      </c>
      <c r="AK22" s="93">
        <f t="shared" si="11"/>
        <v>435</v>
      </c>
      <c r="AL22" s="94">
        <f t="shared" si="12"/>
        <v>1.7977011494252872</v>
      </c>
    </row>
    <row r="23" spans="1:38" ht="15.6" x14ac:dyDescent="0.3">
      <c r="A23" s="46">
        <v>45393</v>
      </c>
      <c r="B23" s="81">
        <v>5</v>
      </c>
      <c r="C23" s="81">
        <v>0</v>
      </c>
      <c r="D23" s="81">
        <f t="shared" si="13"/>
        <v>1512</v>
      </c>
      <c r="E23" s="81">
        <f t="shared" ref="E23:F23" si="19">D23</f>
        <v>1512</v>
      </c>
      <c r="F23" s="81">
        <f t="shared" si="19"/>
        <v>1512</v>
      </c>
      <c r="G23" s="81"/>
      <c r="H23" s="81"/>
      <c r="I23" s="81">
        <f t="shared" si="15"/>
        <v>4536</v>
      </c>
      <c r="J23" s="81">
        <f t="shared" si="16"/>
        <v>45360</v>
      </c>
      <c r="R23" s="84" t="s">
        <v>47</v>
      </c>
      <c r="S23" s="115"/>
      <c r="T23" s="92">
        <v>11.200000000000001</v>
      </c>
      <c r="U23" s="92">
        <v>3.28</v>
      </c>
      <c r="V23" s="82">
        <v>191760</v>
      </c>
      <c r="W23" s="82">
        <v>2147</v>
      </c>
      <c r="X23" s="82">
        <f t="shared" si="7"/>
        <v>6612.76</v>
      </c>
      <c r="Y23" s="88">
        <f t="shared" si="8"/>
        <v>429.40000000000003</v>
      </c>
      <c r="Z23" s="96">
        <f t="shared" si="9"/>
        <v>2.8800000000000003</v>
      </c>
      <c r="AD23" s="83" t="s">
        <v>47</v>
      </c>
      <c r="AE23" s="113"/>
      <c r="AF23" s="94">
        <v>29.600000000000009</v>
      </c>
      <c r="AG23" s="94">
        <v>2.0499999999999998</v>
      </c>
      <c r="AH23" s="83">
        <v>41530</v>
      </c>
      <c r="AI23" s="83">
        <v>2044</v>
      </c>
      <c r="AJ23" s="83">
        <f t="shared" si="10"/>
        <v>3781.3999999999996</v>
      </c>
      <c r="AK23" s="93">
        <f t="shared" si="11"/>
        <v>408.8</v>
      </c>
      <c r="AL23" s="94">
        <f t="shared" si="12"/>
        <v>1.6499999999999997</v>
      </c>
    </row>
    <row r="24" spans="1:38" ht="15.6" x14ac:dyDescent="0.3">
      <c r="A24" s="46">
        <v>45394</v>
      </c>
      <c r="B24" s="81">
        <v>6</v>
      </c>
      <c r="C24" s="81">
        <v>0</v>
      </c>
      <c r="D24" s="81">
        <f t="shared" si="13"/>
        <v>1680</v>
      </c>
      <c r="E24" s="81">
        <f t="shared" ref="E24:F24" si="20">D24</f>
        <v>1680</v>
      </c>
      <c r="F24" s="81">
        <f t="shared" si="20"/>
        <v>1680</v>
      </c>
      <c r="G24" s="81"/>
      <c r="H24" s="81"/>
      <c r="I24" s="81">
        <f t="shared" si="15"/>
        <v>5040</v>
      </c>
      <c r="J24" s="81">
        <f t="shared" si="16"/>
        <v>50400</v>
      </c>
      <c r="R24" s="88" t="s">
        <v>46</v>
      </c>
      <c r="S24" s="115"/>
      <c r="T24" s="92">
        <v>11</v>
      </c>
      <c r="U24" s="92">
        <v>3.3</v>
      </c>
      <c r="V24" s="82">
        <v>189363</v>
      </c>
      <c r="W24" s="82">
        <v>2082</v>
      </c>
      <c r="X24" s="82">
        <f t="shared" si="7"/>
        <v>6454.2</v>
      </c>
      <c r="Y24" s="88">
        <f t="shared" si="8"/>
        <v>416.40000000000003</v>
      </c>
      <c r="Z24" s="96">
        <f t="shared" si="9"/>
        <v>2.9</v>
      </c>
      <c r="AD24" s="83" t="s">
        <v>46</v>
      </c>
      <c r="AE24" s="113"/>
      <c r="AF24" s="94">
        <v>29.3</v>
      </c>
      <c r="AG24" s="94">
        <v>2.06</v>
      </c>
      <c r="AH24" s="83">
        <v>45459</v>
      </c>
      <c r="AI24" s="83">
        <v>2203</v>
      </c>
      <c r="AJ24" s="83">
        <f t="shared" si="10"/>
        <v>4097.58</v>
      </c>
      <c r="AK24" s="93">
        <f t="shared" si="11"/>
        <v>440.6</v>
      </c>
      <c r="AL24" s="94">
        <f t="shared" si="12"/>
        <v>1.66</v>
      </c>
    </row>
    <row r="25" spans="1:38" ht="15.6" x14ac:dyDescent="0.3">
      <c r="A25" s="46">
        <v>45395</v>
      </c>
      <c r="B25" s="81">
        <v>7</v>
      </c>
      <c r="C25" s="81">
        <v>0</v>
      </c>
      <c r="D25" s="81">
        <f t="shared" si="13"/>
        <v>1848</v>
      </c>
      <c r="E25" s="81">
        <f t="shared" ref="E25:F25" si="21">D25</f>
        <v>1848</v>
      </c>
      <c r="F25" s="81">
        <f t="shared" si="21"/>
        <v>1848</v>
      </c>
      <c r="G25" s="81"/>
      <c r="H25" s="81"/>
      <c r="I25" s="81">
        <f t="shared" si="15"/>
        <v>5544</v>
      </c>
      <c r="J25" s="81">
        <f t="shared" si="16"/>
        <v>55440</v>
      </c>
      <c r="R25" s="88"/>
      <c r="S25" s="82"/>
      <c r="T25" s="88"/>
      <c r="U25" s="88"/>
      <c r="V25" s="82"/>
      <c r="W25" s="82"/>
      <c r="X25" s="82"/>
      <c r="Y25" s="88"/>
    </row>
    <row r="26" spans="1:38" ht="15.6" x14ac:dyDescent="0.3">
      <c r="A26" s="46">
        <v>45396</v>
      </c>
      <c r="B26" s="81">
        <v>8</v>
      </c>
      <c r="C26" s="81">
        <v>0</v>
      </c>
      <c r="D26" s="81">
        <f t="shared" si="13"/>
        <v>2016</v>
      </c>
      <c r="E26" s="81">
        <f t="shared" ref="E26:F26" si="22">D26</f>
        <v>2016</v>
      </c>
      <c r="F26" s="81">
        <f t="shared" si="22"/>
        <v>2016</v>
      </c>
      <c r="G26" s="81"/>
      <c r="H26" s="81"/>
      <c r="I26" s="81">
        <f t="shared" si="15"/>
        <v>6048</v>
      </c>
      <c r="J26" s="81">
        <f t="shared" si="16"/>
        <v>60480</v>
      </c>
      <c r="R26" s="88"/>
      <c r="S26" s="82"/>
      <c r="T26" s="88"/>
      <c r="U26" s="88"/>
      <c r="V26" s="82"/>
      <c r="W26" s="82"/>
      <c r="X26" s="82"/>
      <c r="Y26" s="88"/>
      <c r="AL26" s="94">
        <f>AVERAGE(AL15:AL24)</f>
        <v>1.6577701149425283</v>
      </c>
    </row>
    <row r="27" spans="1:38" ht="15.6" x14ac:dyDescent="0.3">
      <c r="A27" s="46">
        <v>45397</v>
      </c>
      <c r="B27" s="81">
        <v>9</v>
      </c>
      <c r="C27" s="81">
        <v>0</v>
      </c>
      <c r="D27" s="81">
        <f t="shared" si="13"/>
        <v>2184</v>
      </c>
      <c r="E27" s="81">
        <f t="shared" ref="E27:F27" si="23">D27</f>
        <v>2184</v>
      </c>
      <c r="F27" s="81">
        <f t="shared" si="23"/>
        <v>2184</v>
      </c>
      <c r="G27" s="81"/>
      <c r="H27" s="81"/>
      <c r="I27" s="81">
        <f t="shared" si="15"/>
        <v>6552</v>
      </c>
      <c r="J27" s="81">
        <f t="shared" si="16"/>
        <v>65520</v>
      </c>
      <c r="R27" s="87" t="s">
        <v>52</v>
      </c>
      <c r="S27" s="82" t="s">
        <v>57</v>
      </c>
      <c r="T27" s="83" t="s">
        <v>207</v>
      </c>
      <c r="U27" s="82" t="s">
        <v>206</v>
      </c>
      <c r="V27" s="82" t="s">
        <v>203</v>
      </c>
      <c r="W27" s="82" t="s">
        <v>205</v>
      </c>
      <c r="X27" s="82" t="s">
        <v>204</v>
      </c>
      <c r="Y27" s="83" t="s">
        <v>210</v>
      </c>
      <c r="Z27" s="83" t="s">
        <v>140</v>
      </c>
      <c r="AL27" s="96"/>
    </row>
    <row r="28" spans="1:38" ht="15.6" x14ac:dyDescent="0.3">
      <c r="A28" s="46">
        <v>45398</v>
      </c>
      <c r="B28" s="81">
        <v>10</v>
      </c>
      <c r="C28" s="81">
        <v>0</v>
      </c>
      <c r="D28" s="81">
        <f t="shared" si="13"/>
        <v>2352</v>
      </c>
      <c r="E28" s="81">
        <f t="shared" ref="E28:F28" si="24">D28</f>
        <v>2352</v>
      </c>
      <c r="F28" s="81">
        <f t="shared" si="24"/>
        <v>2352</v>
      </c>
      <c r="G28" s="81"/>
      <c r="H28" s="81"/>
      <c r="I28" s="81">
        <f t="shared" si="15"/>
        <v>7056</v>
      </c>
      <c r="J28" s="81">
        <f t="shared" si="16"/>
        <v>70560</v>
      </c>
      <c r="R28" s="88" t="s">
        <v>119</v>
      </c>
      <c r="S28" s="115">
        <v>55</v>
      </c>
      <c r="T28" s="92">
        <v>13.8</v>
      </c>
      <c r="U28" s="92">
        <v>3</v>
      </c>
      <c r="V28" s="82">
        <v>226800</v>
      </c>
      <c r="W28" s="82">
        <v>3129</v>
      </c>
      <c r="X28" s="82">
        <f>W28*U28-Y28</f>
        <v>8761.2000000000007</v>
      </c>
      <c r="Y28" s="82">
        <f>20%*W28</f>
        <v>625.80000000000007</v>
      </c>
      <c r="Z28" s="96">
        <f>(X28-Y28)/W28</f>
        <v>2.6</v>
      </c>
    </row>
    <row r="29" spans="1:38" ht="15.6" x14ac:dyDescent="0.3">
      <c r="A29" s="46">
        <v>45399</v>
      </c>
      <c r="B29" s="81">
        <v>11</v>
      </c>
      <c r="C29" s="81">
        <v>1</v>
      </c>
      <c r="D29" s="81">
        <f t="shared" si="13"/>
        <v>2688</v>
      </c>
      <c r="E29" s="81">
        <f t="shared" ref="E29:F29" si="25">D29</f>
        <v>2688</v>
      </c>
      <c r="F29" s="81">
        <f t="shared" si="25"/>
        <v>2688</v>
      </c>
      <c r="G29" s="81"/>
      <c r="H29" s="81"/>
      <c r="I29" s="81">
        <f t="shared" ref="I29:I38" si="26">E4</f>
        <v>8064</v>
      </c>
      <c r="J29" s="81">
        <f t="shared" si="16"/>
        <v>80640</v>
      </c>
      <c r="R29" s="84" t="s">
        <v>120</v>
      </c>
      <c r="S29" s="115"/>
      <c r="T29" s="92">
        <v>13.100000000000001</v>
      </c>
      <c r="U29" s="92">
        <v>3.07</v>
      </c>
      <c r="V29" s="82">
        <v>226800</v>
      </c>
      <c r="W29" s="82">
        <v>2971</v>
      </c>
      <c r="X29" s="82">
        <f t="shared" ref="X29:X37" si="27">W29*U29-Y29</f>
        <v>8526.7699999999986</v>
      </c>
      <c r="Y29" s="82">
        <f t="shared" ref="Y29:Y37" si="28">20%*W29</f>
        <v>594.20000000000005</v>
      </c>
      <c r="Z29" s="96">
        <f t="shared" ref="Z29:Z37" si="29">(X29-Y29)/W29</f>
        <v>2.6699999999999995</v>
      </c>
    </row>
    <row r="30" spans="1:38" ht="15.6" x14ac:dyDescent="0.3">
      <c r="A30" s="46">
        <v>45400</v>
      </c>
      <c r="B30" s="81">
        <v>12</v>
      </c>
      <c r="C30" s="81">
        <v>1</v>
      </c>
      <c r="D30" s="81">
        <f t="shared" si="13"/>
        <v>3024</v>
      </c>
      <c r="E30" s="81">
        <f t="shared" ref="E30:F30" si="30">D30</f>
        <v>3024</v>
      </c>
      <c r="F30" s="81">
        <f t="shared" si="30"/>
        <v>3024</v>
      </c>
      <c r="G30" s="81"/>
      <c r="H30" s="81"/>
      <c r="I30" s="81">
        <f t="shared" si="26"/>
        <v>9072</v>
      </c>
      <c r="J30" s="81">
        <f t="shared" si="16"/>
        <v>90720</v>
      </c>
      <c r="R30" s="88" t="s">
        <v>121</v>
      </c>
      <c r="S30" s="115"/>
      <c r="T30" s="92">
        <v>13.100000000000001</v>
      </c>
      <c r="U30" s="92">
        <v>3.07</v>
      </c>
      <c r="V30" s="82">
        <v>226800</v>
      </c>
      <c r="W30" s="82">
        <v>2971</v>
      </c>
      <c r="X30" s="82">
        <f t="shared" si="27"/>
        <v>8526.7699999999986</v>
      </c>
      <c r="Y30" s="82">
        <f t="shared" si="28"/>
        <v>594.20000000000005</v>
      </c>
      <c r="Z30" s="96">
        <f t="shared" si="29"/>
        <v>2.6699999999999995</v>
      </c>
    </row>
    <row r="31" spans="1:38" ht="15.6" x14ac:dyDescent="0.3">
      <c r="A31" s="46">
        <v>45401</v>
      </c>
      <c r="B31" s="81">
        <v>13</v>
      </c>
      <c r="C31" s="81">
        <v>1</v>
      </c>
      <c r="D31" s="81">
        <f t="shared" si="13"/>
        <v>3360</v>
      </c>
      <c r="E31" s="81">
        <f t="shared" ref="E31:F31" si="31">D31</f>
        <v>3360</v>
      </c>
      <c r="F31" s="81">
        <f t="shared" si="31"/>
        <v>3360</v>
      </c>
      <c r="G31" s="81"/>
      <c r="H31" s="81"/>
      <c r="I31" s="81">
        <f t="shared" si="26"/>
        <v>10080</v>
      </c>
      <c r="J31" s="81">
        <f t="shared" si="16"/>
        <v>100800</v>
      </c>
      <c r="R31" s="88" t="s">
        <v>122</v>
      </c>
      <c r="S31" s="115"/>
      <c r="T31" s="92">
        <v>12.999999999999998</v>
      </c>
      <c r="U31" s="92">
        <v>3.08</v>
      </c>
      <c r="V31" s="82">
        <v>226800</v>
      </c>
      <c r="W31" s="82">
        <v>2948</v>
      </c>
      <c r="X31" s="82">
        <f t="shared" si="27"/>
        <v>8490.24</v>
      </c>
      <c r="Y31" s="82">
        <f t="shared" si="28"/>
        <v>589.6</v>
      </c>
      <c r="Z31" s="96">
        <f t="shared" si="29"/>
        <v>2.6799999999999997</v>
      </c>
    </row>
    <row r="32" spans="1:38" ht="15.6" x14ac:dyDescent="0.3">
      <c r="A32" s="46">
        <v>45402</v>
      </c>
      <c r="B32" s="81">
        <v>14</v>
      </c>
      <c r="C32" s="81">
        <v>1</v>
      </c>
      <c r="D32" s="81">
        <f t="shared" si="13"/>
        <v>3696</v>
      </c>
      <c r="E32" s="81">
        <f t="shared" ref="E32:F32" si="32">D32</f>
        <v>3696</v>
      </c>
      <c r="F32" s="81">
        <f t="shared" si="32"/>
        <v>3696</v>
      </c>
      <c r="G32" s="81"/>
      <c r="H32" s="81"/>
      <c r="I32" s="81">
        <f t="shared" si="26"/>
        <v>11088</v>
      </c>
      <c r="J32" s="81">
        <f t="shared" si="16"/>
        <v>110880</v>
      </c>
      <c r="R32" s="88" t="s">
        <v>123</v>
      </c>
      <c r="S32" s="115"/>
      <c r="T32" s="92">
        <v>13.600000000000001</v>
      </c>
      <c r="U32" s="92">
        <v>3.02</v>
      </c>
      <c r="V32" s="82">
        <v>226800</v>
      </c>
      <c r="W32" s="82">
        <v>3084</v>
      </c>
      <c r="X32" s="82">
        <f t="shared" si="27"/>
        <v>8696.880000000001</v>
      </c>
      <c r="Y32" s="82">
        <f t="shared" si="28"/>
        <v>616.80000000000007</v>
      </c>
      <c r="Z32" s="96">
        <f t="shared" si="29"/>
        <v>2.62</v>
      </c>
      <c r="AC32" s="104"/>
      <c r="AF32" s="105" t="s">
        <v>157</v>
      </c>
      <c r="AG32" s="105"/>
      <c r="AH32" s="105"/>
      <c r="AI32" s="105"/>
      <c r="AJ32" s="105"/>
    </row>
    <row r="33" spans="1:43" ht="15.6" x14ac:dyDescent="0.3">
      <c r="A33" s="46">
        <v>45403</v>
      </c>
      <c r="B33" s="81">
        <v>15</v>
      </c>
      <c r="C33" s="81">
        <v>1</v>
      </c>
      <c r="D33" s="81">
        <f t="shared" si="13"/>
        <v>4032</v>
      </c>
      <c r="E33" s="81">
        <f t="shared" ref="E33:F35" si="33">D33</f>
        <v>4032</v>
      </c>
      <c r="F33" s="81">
        <f t="shared" si="33"/>
        <v>4032</v>
      </c>
      <c r="G33" s="81"/>
      <c r="H33" s="81"/>
      <c r="I33" s="81">
        <f t="shared" si="26"/>
        <v>12096</v>
      </c>
      <c r="J33" s="81">
        <f t="shared" si="16"/>
        <v>120960</v>
      </c>
      <c r="R33" s="88" t="s">
        <v>50</v>
      </c>
      <c r="S33" s="115"/>
      <c r="T33" s="92">
        <v>13.8</v>
      </c>
      <c r="U33" s="92">
        <v>3</v>
      </c>
      <c r="V33" s="82">
        <v>215730</v>
      </c>
      <c r="W33" s="82">
        <v>2977</v>
      </c>
      <c r="X33" s="82">
        <f t="shared" si="27"/>
        <v>8335.6</v>
      </c>
      <c r="Y33" s="82">
        <f t="shared" si="28"/>
        <v>595.4</v>
      </c>
      <c r="Z33" s="96">
        <f t="shared" si="29"/>
        <v>2.6</v>
      </c>
      <c r="AG33" s="83" t="s">
        <v>133</v>
      </c>
      <c r="AH33" s="83" t="s">
        <v>244</v>
      </c>
      <c r="AI33" s="83" t="s">
        <v>245</v>
      </c>
      <c r="AJ33" s="83" t="s">
        <v>247</v>
      </c>
    </row>
    <row r="34" spans="1:43" ht="15.6" x14ac:dyDescent="0.3">
      <c r="A34" s="46">
        <v>45404</v>
      </c>
      <c r="B34" s="81">
        <v>16</v>
      </c>
      <c r="C34" s="81">
        <v>1</v>
      </c>
      <c r="D34" s="81">
        <f>I34/4</f>
        <v>3276</v>
      </c>
      <c r="E34" s="81">
        <f t="shared" si="33"/>
        <v>3276</v>
      </c>
      <c r="F34" s="81">
        <f t="shared" si="33"/>
        <v>3276</v>
      </c>
      <c r="G34" s="81"/>
      <c r="H34" s="81"/>
      <c r="I34" s="81">
        <f t="shared" si="26"/>
        <v>13104</v>
      </c>
      <c r="J34" s="81">
        <f t="shared" si="16"/>
        <v>131040</v>
      </c>
      <c r="R34" s="88" t="s">
        <v>49</v>
      </c>
      <c r="S34" s="115"/>
      <c r="T34" s="92">
        <v>13.299999999999999</v>
      </c>
      <c r="U34" s="92">
        <v>3.05</v>
      </c>
      <c r="V34" s="82">
        <v>189363</v>
      </c>
      <c r="W34" s="82">
        <v>2518</v>
      </c>
      <c r="X34" s="82">
        <f t="shared" si="27"/>
        <v>7176.2999999999993</v>
      </c>
      <c r="Y34" s="82">
        <f t="shared" si="28"/>
        <v>503.6</v>
      </c>
      <c r="Z34" s="96">
        <f t="shared" si="29"/>
        <v>2.6499999999999995</v>
      </c>
      <c r="AE34" s="5">
        <v>252000</v>
      </c>
      <c r="AF34" s="83" t="s">
        <v>119</v>
      </c>
      <c r="AG34" s="83">
        <v>226800</v>
      </c>
      <c r="AH34" s="83">
        <f>AG34-V54</f>
        <v>64000</v>
      </c>
      <c r="AI34" s="83">
        <v>1123</v>
      </c>
      <c r="AJ34" s="83">
        <f>AI34*56300</f>
        <v>63224900</v>
      </c>
    </row>
    <row r="35" spans="1:43" ht="15.6" x14ac:dyDescent="0.3">
      <c r="A35" s="46">
        <v>45405</v>
      </c>
      <c r="B35" s="81">
        <v>17</v>
      </c>
      <c r="C35" s="81">
        <v>1</v>
      </c>
      <c r="D35" s="81">
        <f>I35/4</f>
        <v>3528</v>
      </c>
      <c r="E35" s="81">
        <f t="shared" si="33"/>
        <v>3528</v>
      </c>
      <c r="F35" s="81">
        <f t="shared" si="33"/>
        <v>3528</v>
      </c>
      <c r="G35" s="81">
        <f>F35</f>
        <v>3528</v>
      </c>
      <c r="H35" s="81"/>
      <c r="I35" s="81">
        <f t="shared" si="26"/>
        <v>14112</v>
      </c>
      <c r="J35" s="81">
        <f t="shared" si="16"/>
        <v>141120</v>
      </c>
      <c r="R35" s="88" t="s">
        <v>48</v>
      </c>
      <c r="S35" s="115"/>
      <c r="T35" s="92">
        <v>13.600000000000001</v>
      </c>
      <c r="U35" s="92">
        <v>3.02</v>
      </c>
      <c r="V35" s="82">
        <v>191760</v>
      </c>
      <c r="W35" s="82">
        <v>2607</v>
      </c>
      <c r="X35" s="82">
        <f t="shared" si="27"/>
        <v>7351.7400000000007</v>
      </c>
      <c r="Y35" s="82">
        <f t="shared" si="28"/>
        <v>521.4</v>
      </c>
      <c r="Z35" s="96">
        <f t="shared" si="29"/>
        <v>2.6200000000000006</v>
      </c>
      <c r="AE35" s="5">
        <v>252000</v>
      </c>
      <c r="AF35" s="83" t="s">
        <v>120</v>
      </c>
      <c r="AG35" s="83">
        <v>226800</v>
      </c>
      <c r="AH35" s="83">
        <f t="shared" ref="AH35:AH43" si="34">AG35-V55</f>
        <v>73320</v>
      </c>
      <c r="AI35" s="83">
        <v>1191</v>
      </c>
      <c r="AJ35" s="83">
        <f t="shared" ref="AJ35:AJ43" si="35">AI35*56300</f>
        <v>67053300</v>
      </c>
      <c r="AP35" s="83" t="s">
        <v>52</v>
      </c>
      <c r="AQ35" s="96" t="s">
        <v>140</v>
      </c>
    </row>
    <row r="36" spans="1:43" ht="15.6" x14ac:dyDescent="0.3">
      <c r="A36" s="46">
        <v>45406</v>
      </c>
      <c r="B36" s="81">
        <v>18</v>
      </c>
      <c r="C36" s="81">
        <v>1</v>
      </c>
      <c r="D36" s="81">
        <f t="shared" ref="D36:D42" si="36">I36/4</f>
        <v>3780</v>
      </c>
      <c r="E36" s="81">
        <f t="shared" ref="E36:G36" si="37">D36</f>
        <v>3780</v>
      </c>
      <c r="F36" s="81">
        <f t="shared" si="37"/>
        <v>3780</v>
      </c>
      <c r="G36" s="81">
        <f t="shared" si="37"/>
        <v>3780</v>
      </c>
      <c r="H36" s="81"/>
      <c r="I36" s="81">
        <f t="shared" si="26"/>
        <v>15120</v>
      </c>
      <c r="J36" s="81">
        <f t="shared" si="16"/>
        <v>151200</v>
      </c>
      <c r="R36" s="84" t="s">
        <v>47</v>
      </c>
      <c r="S36" s="115"/>
      <c r="T36" s="92">
        <v>13.400000000000002</v>
      </c>
      <c r="U36" s="92">
        <v>3.04</v>
      </c>
      <c r="V36" s="82">
        <v>191760</v>
      </c>
      <c r="W36" s="82">
        <v>2569</v>
      </c>
      <c r="X36" s="82">
        <f t="shared" si="27"/>
        <v>7295.96</v>
      </c>
      <c r="Y36" s="82">
        <f t="shared" si="28"/>
        <v>513.80000000000007</v>
      </c>
      <c r="Z36" s="96">
        <f t="shared" si="29"/>
        <v>2.64</v>
      </c>
      <c r="AE36" s="5">
        <v>252000</v>
      </c>
      <c r="AF36" s="83" t="s">
        <v>121</v>
      </c>
      <c r="AG36" s="83">
        <v>226800</v>
      </c>
      <c r="AH36" s="83">
        <f t="shared" si="34"/>
        <v>64000</v>
      </c>
      <c r="AI36" s="83">
        <v>1062</v>
      </c>
      <c r="AJ36" s="83">
        <f t="shared" si="35"/>
        <v>59790600</v>
      </c>
      <c r="AP36" s="83" t="s">
        <v>119</v>
      </c>
      <c r="AQ36" s="96">
        <v>1.6299999999999997</v>
      </c>
    </row>
    <row r="37" spans="1:43" ht="15.6" x14ac:dyDescent="0.3">
      <c r="A37" s="46">
        <v>45407</v>
      </c>
      <c r="B37" s="81">
        <v>19</v>
      </c>
      <c r="C37" s="81">
        <v>1</v>
      </c>
      <c r="D37" s="81">
        <f t="shared" si="36"/>
        <v>4032</v>
      </c>
      <c r="E37" s="81">
        <f t="shared" ref="E37:G37" si="38">D37</f>
        <v>4032</v>
      </c>
      <c r="F37" s="81">
        <f t="shared" si="38"/>
        <v>4032</v>
      </c>
      <c r="G37" s="81">
        <f t="shared" si="38"/>
        <v>4032</v>
      </c>
      <c r="H37" s="81"/>
      <c r="I37" s="81">
        <f t="shared" si="26"/>
        <v>16128</v>
      </c>
      <c r="J37" s="81">
        <f t="shared" si="16"/>
        <v>161280</v>
      </c>
      <c r="R37" s="88" t="s">
        <v>46</v>
      </c>
      <c r="S37" s="115"/>
      <c r="T37" s="92">
        <v>13.1</v>
      </c>
      <c r="U37" s="92">
        <v>3.07</v>
      </c>
      <c r="V37" s="82">
        <v>189363</v>
      </c>
      <c r="W37" s="82">
        <v>2480</v>
      </c>
      <c r="X37" s="82">
        <f t="shared" si="27"/>
        <v>7117.5999999999995</v>
      </c>
      <c r="Y37" s="82">
        <f t="shared" si="28"/>
        <v>496</v>
      </c>
      <c r="Z37" s="96">
        <f t="shared" si="29"/>
        <v>2.67</v>
      </c>
      <c r="AE37" s="5">
        <v>252000</v>
      </c>
      <c r="AF37" s="83" t="s">
        <v>122</v>
      </c>
      <c r="AG37" s="83">
        <v>226800</v>
      </c>
      <c r="AH37" s="83">
        <f t="shared" si="34"/>
        <v>73320</v>
      </c>
      <c r="AI37" s="83">
        <v>1239</v>
      </c>
      <c r="AJ37" s="83">
        <f t="shared" si="35"/>
        <v>69755700</v>
      </c>
      <c r="AL37" s="103"/>
      <c r="AP37" s="83" t="s">
        <v>120</v>
      </c>
      <c r="AQ37" s="96">
        <v>1.66</v>
      </c>
    </row>
    <row r="38" spans="1:43" ht="15.6" x14ac:dyDescent="0.3">
      <c r="A38" s="46">
        <v>45408</v>
      </c>
      <c r="B38" s="81">
        <v>20</v>
      </c>
      <c r="C38" s="81">
        <v>1</v>
      </c>
      <c r="D38" s="81">
        <f t="shared" si="36"/>
        <v>4284</v>
      </c>
      <c r="E38" s="81">
        <f t="shared" ref="E38:G38" si="39">D38</f>
        <v>4284</v>
      </c>
      <c r="F38" s="81">
        <f t="shared" si="39"/>
        <v>4284</v>
      </c>
      <c r="G38" s="81">
        <f t="shared" si="39"/>
        <v>4284</v>
      </c>
      <c r="H38" s="81"/>
      <c r="I38" s="81">
        <f t="shared" si="26"/>
        <v>17136</v>
      </c>
      <c r="J38" s="81">
        <f t="shared" si="16"/>
        <v>171360</v>
      </c>
      <c r="R38" s="88"/>
      <c r="S38" s="82"/>
      <c r="T38" s="88"/>
      <c r="U38" s="88"/>
      <c r="V38" s="82"/>
      <c r="W38" s="82"/>
      <c r="X38" s="82"/>
      <c r="Y38" s="88"/>
      <c r="AE38" s="5">
        <v>252000</v>
      </c>
      <c r="AF38" s="83" t="s">
        <v>123</v>
      </c>
      <c r="AG38" s="83">
        <v>226800</v>
      </c>
      <c r="AH38" s="83">
        <f t="shared" si="34"/>
        <v>73320</v>
      </c>
      <c r="AI38" s="83">
        <v>1290</v>
      </c>
      <c r="AJ38" s="83">
        <f t="shared" si="35"/>
        <v>72627000</v>
      </c>
      <c r="AP38" s="83" t="s">
        <v>121</v>
      </c>
      <c r="AQ38" s="96">
        <v>1.6199999999999999</v>
      </c>
    </row>
    <row r="39" spans="1:43" ht="15.6" x14ac:dyDescent="0.3">
      <c r="A39" s="46">
        <v>45409</v>
      </c>
      <c r="B39" s="81">
        <v>21</v>
      </c>
      <c r="C39" s="81">
        <v>1</v>
      </c>
      <c r="D39" s="81">
        <f t="shared" si="36"/>
        <v>4662</v>
      </c>
      <c r="E39" s="81">
        <f t="shared" ref="E39:G39" si="40">D39</f>
        <v>4662</v>
      </c>
      <c r="F39" s="81">
        <f t="shared" si="40"/>
        <v>4662</v>
      </c>
      <c r="G39" s="81">
        <f t="shared" si="40"/>
        <v>4662</v>
      </c>
      <c r="H39" s="81"/>
      <c r="I39" s="81">
        <f t="shared" ref="I39:I48" si="41">G4</f>
        <v>18648</v>
      </c>
      <c r="J39" s="81">
        <f t="shared" si="16"/>
        <v>186480</v>
      </c>
      <c r="R39" s="88"/>
      <c r="S39" s="82"/>
      <c r="T39" s="88"/>
      <c r="U39" s="88"/>
      <c r="V39" s="82"/>
      <c r="W39" s="82"/>
      <c r="X39" s="82"/>
      <c r="Y39" s="88"/>
      <c r="AE39" s="5">
        <v>252000</v>
      </c>
      <c r="AF39" s="83" t="s">
        <v>50</v>
      </c>
      <c r="AG39" s="83">
        <v>215730</v>
      </c>
      <c r="AH39" s="83">
        <f t="shared" si="34"/>
        <v>92500</v>
      </c>
      <c r="AI39" s="83">
        <v>1641</v>
      </c>
      <c r="AJ39" s="83">
        <f t="shared" si="35"/>
        <v>92388300</v>
      </c>
      <c r="AP39" s="83" t="s">
        <v>122</v>
      </c>
      <c r="AQ39" s="96">
        <v>1.6800000000000002</v>
      </c>
    </row>
    <row r="40" spans="1:43" ht="15.6" x14ac:dyDescent="0.3">
      <c r="A40" s="46">
        <v>45410</v>
      </c>
      <c r="B40" s="81">
        <v>22</v>
      </c>
      <c r="C40" s="81">
        <v>1</v>
      </c>
      <c r="D40" s="81">
        <f t="shared" si="36"/>
        <v>5040</v>
      </c>
      <c r="E40" s="81">
        <f t="shared" ref="E40:G40" si="42">D40</f>
        <v>5040</v>
      </c>
      <c r="F40" s="81">
        <f t="shared" si="42"/>
        <v>5040</v>
      </c>
      <c r="G40" s="81">
        <f t="shared" si="42"/>
        <v>5040</v>
      </c>
      <c r="H40" s="81"/>
      <c r="I40" s="81">
        <f t="shared" si="41"/>
        <v>20160</v>
      </c>
      <c r="J40" s="81">
        <f t="shared" si="16"/>
        <v>201600</v>
      </c>
      <c r="R40" s="84" t="s">
        <v>52</v>
      </c>
      <c r="S40" s="82" t="s">
        <v>57</v>
      </c>
      <c r="T40" s="83" t="s">
        <v>207</v>
      </c>
      <c r="U40" s="88" t="s">
        <v>206</v>
      </c>
      <c r="V40" s="82" t="s">
        <v>203</v>
      </c>
      <c r="W40" s="82" t="s">
        <v>205</v>
      </c>
      <c r="X40" s="82" t="s">
        <v>204</v>
      </c>
      <c r="Y40" s="83" t="s">
        <v>210</v>
      </c>
      <c r="Z40" s="83" t="s">
        <v>140</v>
      </c>
      <c r="AE40" s="5">
        <v>252000</v>
      </c>
      <c r="AF40" s="83" t="s">
        <v>49</v>
      </c>
      <c r="AG40" s="83">
        <v>189363</v>
      </c>
      <c r="AH40" s="83">
        <f t="shared" si="34"/>
        <v>64000</v>
      </c>
      <c r="AI40" s="83">
        <v>1062</v>
      </c>
      <c r="AJ40" s="83">
        <f t="shared" si="35"/>
        <v>59790600</v>
      </c>
      <c r="AP40" s="83" t="s">
        <v>123</v>
      </c>
      <c r="AQ40" s="96">
        <v>1.6199999999999999</v>
      </c>
    </row>
    <row r="41" spans="1:43" x14ac:dyDescent="0.3">
      <c r="A41" s="46">
        <v>45411</v>
      </c>
      <c r="B41" s="81">
        <v>23</v>
      </c>
      <c r="C41" s="81">
        <v>1</v>
      </c>
      <c r="D41" s="81">
        <f t="shared" si="36"/>
        <v>5418</v>
      </c>
      <c r="E41" s="81">
        <f t="shared" ref="E41:G41" si="43">D41</f>
        <v>5418</v>
      </c>
      <c r="F41" s="81">
        <f t="shared" si="43"/>
        <v>5418</v>
      </c>
      <c r="G41" s="81">
        <f t="shared" si="43"/>
        <v>5418</v>
      </c>
      <c r="H41" s="81"/>
      <c r="I41" s="81">
        <f t="shared" si="41"/>
        <v>21672</v>
      </c>
      <c r="J41" s="81">
        <f t="shared" si="16"/>
        <v>216720</v>
      </c>
      <c r="R41" s="83" t="s">
        <v>119</v>
      </c>
      <c r="S41" s="113">
        <v>65</v>
      </c>
      <c r="T41" s="94">
        <v>16.400000000000002</v>
      </c>
      <c r="U41" s="94">
        <v>2.68</v>
      </c>
      <c r="V41" s="83">
        <v>226800</v>
      </c>
      <c r="W41" s="83">
        <v>3580</v>
      </c>
      <c r="X41" s="83">
        <f>W41*U41-Y41</f>
        <v>8878.4000000000015</v>
      </c>
      <c r="Y41" s="93">
        <f>20%*W41</f>
        <v>716</v>
      </c>
      <c r="Z41" s="96">
        <f>(X41-Y41)/W41</f>
        <v>2.2800000000000002</v>
      </c>
      <c r="AE41" s="5">
        <v>252000</v>
      </c>
      <c r="AF41" s="83" t="s">
        <v>48</v>
      </c>
      <c r="AG41" s="83">
        <v>191760</v>
      </c>
      <c r="AH41" s="83">
        <f t="shared" si="34"/>
        <v>73320</v>
      </c>
      <c r="AI41" s="83">
        <v>1253</v>
      </c>
      <c r="AJ41" s="83">
        <f t="shared" si="35"/>
        <v>70543900</v>
      </c>
      <c r="AP41" s="83" t="s">
        <v>50</v>
      </c>
      <c r="AQ41" s="96">
        <v>1.5999999999999999</v>
      </c>
    </row>
    <row r="42" spans="1:43" x14ac:dyDescent="0.3">
      <c r="A42" s="46">
        <v>45412</v>
      </c>
      <c r="B42" s="81">
        <v>24</v>
      </c>
      <c r="C42" s="81">
        <v>1</v>
      </c>
      <c r="D42" s="81">
        <f t="shared" si="36"/>
        <v>5796</v>
      </c>
      <c r="E42" s="81">
        <f t="shared" ref="E42:G43" si="44">D42</f>
        <v>5796</v>
      </c>
      <c r="F42" s="81">
        <f t="shared" si="44"/>
        <v>5796</v>
      </c>
      <c r="G42" s="81">
        <f t="shared" si="44"/>
        <v>5796</v>
      </c>
      <c r="H42" s="81"/>
      <c r="I42" s="81">
        <f t="shared" si="41"/>
        <v>23184</v>
      </c>
      <c r="J42" s="81">
        <f t="shared" si="16"/>
        <v>231840</v>
      </c>
      <c r="R42" s="83" t="s">
        <v>120</v>
      </c>
      <c r="S42" s="113"/>
      <c r="T42" s="94">
        <v>15.200000000000001</v>
      </c>
      <c r="U42" s="94">
        <v>2.87</v>
      </c>
      <c r="V42" s="83">
        <v>226800</v>
      </c>
      <c r="W42" s="83">
        <v>3394</v>
      </c>
      <c r="X42" s="83">
        <f t="shared" ref="X42:X50" si="45">W42*U42-Y42</f>
        <v>9061.9800000000014</v>
      </c>
      <c r="Y42" s="93">
        <f t="shared" ref="Y42:Y50" si="46">20%*W42</f>
        <v>678.80000000000007</v>
      </c>
      <c r="Z42" s="96">
        <f t="shared" ref="Z42:Z50" si="47">(X42-Y42)/W42</f>
        <v>2.4700000000000006</v>
      </c>
      <c r="AE42" s="5">
        <v>252000</v>
      </c>
      <c r="AF42" s="83" t="s">
        <v>47</v>
      </c>
      <c r="AG42" s="83">
        <v>191760</v>
      </c>
      <c r="AH42" s="83">
        <f t="shared" si="34"/>
        <v>73320</v>
      </c>
      <c r="AI42" s="83">
        <v>1235</v>
      </c>
      <c r="AJ42" s="83">
        <f t="shared" si="35"/>
        <v>69530500</v>
      </c>
      <c r="AP42" s="83" t="s">
        <v>49</v>
      </c>
      <c r="AQ42" s="96">
        <v>1.66</v>
      </c>
    </row>
    <row r="43" spans="1:43" x14ac:dyDescent="0.3">
      <c r="A43" s="46">
        <v>45413</v>
      </c>
      <c r="B43" s="81">
        <v>25</v>
      </c>
      <c r="C43" s="81">
        <v>1</v>
      </c>
      <c r="D43" s="81">
        <f>I43/5</f>
        <v>4939.2</v>
      </c>
      <c r="E43" s="81">
        <f t="shared" si="44"/>
        <v>4939.2</v>
      </c>
      <c r="F43" s="81">
        <f t="shared" si="44"/>
        <v>4939.2</v>
      </c>
      <c r="G43" s="81">
        <f t="shared" si="44"/>
        <v>4939.2</v>
      </c>
      <c r="H43" s="81">
        <f>G43</f>
        <v>4939.2</v>
      </c>
      <c r="I43" s="81">
        <f t="shared" si="41"/>
        <v>24696</v>
      </c>
      <c r="J43" s="81">
        <f t="shared" si="16"/>
        <v>246960</v>
      </c>
      <c r="L43" s="99"/>
      <c r="M43" s="99"/>
      <c r="N43" s="99"/>
      <c r="O43" s="99"/>
      <c r="P43" s="99"/>
      <c r="R43" s="83" t="s">
        <v>121</v>
      </c>
      <c r="S43" s="113"/>
      <c r="T43" s="94">
        <v>15.400000000000002</v>
      </c>
      <c r="U43" s="94">
        <v>2.76</v>
      </c>
      <c r="V43" s="83">
        <v>226800</v>
      </c>
      <c r="W43" s="83">
        <v>3362</v>
      </c>
      <c r="X43" s="83">
        <f t="shared" si="45"/>
        <v>8606.7199999999993</v>
      </c>
      <c r="Y43" s="93">
        <f t="shared" si="46"/>
        <v>672.40000000000009</v>
      </c>
      <c r="Z43" s="96">
        <f t="shared" si="47"/>
        <v>2.36</v>
      </c>
      <c r="AE43" s="5">
        <v>252000</v>
      </c>
      <c r="AF43" s="83" t="s">
        <v>46</v>
      </c>
      <c r="AG43" s="83">
        <v>189363</v>
      </c>
      <c r="AH43" s="83">
        <f t="shared" si="34"/>
        <v>64000</v>
      </c>
      <c r="AI43" s="83">
        <v>1059</v>
      </c>
      <c r="AJ43" s="83">
        <f t="shared" si="35"/>
        <v>59621700</v>
      </c>
      <c r="AP43" s="83" t="s">
        <v>48</v>
      </c>
      <c r="AQ43" s="96">
        <v>1.7977011494252872</v>
      </c>
    </row>
    <row r="44" spans="1:43" ht="15.6" customHeight="1" x14ac:dyDescent="0.3">
      <c r="A44" s="46">
        <v>45414</v>
      </c>
      <c r="B44" s="81">
        <v>26</v>
      </c>
      <c r="C44" s="81">
        <v>1</v>
      </c>
      <c r="D44" s="81">
        <f t="shared" ref="D44:D53" si="48">I44/5</f>
        <v>5241.6000000000004</v>
      </c>
      <c r="E44" s="81">
        <f t="shared" ref="E44:H44" si="49">D44</f>
        <v>5241.6000000000004</v>
      </c>
      <c r="F44" s="81">
        <f t="shared" si="49"/>
        <v>5241.6000000000004</v>
      </c>
      <c r="G44" s="81">
        <f t="shared" si="49"/>
        <v>5241.6000000000004</v>
      </c>
      <c r="H44" s="81">
        <f t="shared" si="49"/>
        <v>5241.6000000000004</v>
      </c>
      <c r="I44" s="81">
        <f t="shared" si="41"/>
        <v>26208</v>
      </c>
      <c r="J44" s="81">
        <f t="shared" si="16"/>
        <v>262080</v>
      </c>
      <c r="L44" s="99"/>
      <c r="M44" s="99"/>
      <c r="N44" s="99"/>
      <c r="O44" s="99"/>
      <c r="P44" s="99"/>
      <c r="R44" s="83" t="s">
        <v>122</v>
      </c>
      <c r="S44" s="113"/>
      <c r="T44" s="94">
        <v>15.799999999999999</v>
      </c>
      <c r="U44" s="94">
        <v>2.82</v>
      </c>
      <c r="V44" s="83">
        <v>226800</v>
      </c>
      <c r="W44" s="83">
        <v>3457</v>
      </c>
      <c r="X44" s="83">
        <f t="shared" si="45"/>
        <v>9057.34</v>
      </c>
      <c r="Y44" s="93">
        <f t="shared" si="46"/>
        <v>691.40000000000009</v>
      </c>
      <c r="Z44" s="96">
        <f t="shared" si="47"/>
        <v>2.42</v>
      </c>
      <c r="AF44" s="105" t="s">
        <v>2</v>
      </c>
      <c r="AG44" s="105"/>
      <c r="AH44" s="83">
        <f>SUM(AH34:AH43)</f>
        <v>715100</v>
      </c>
      <c r="AI44" s="83">
        <f>SUM(AI34:AI43)</f>
        <v>12155</v>
      </c>
      <c r="AJ44" s="83">
        <f>SUM(AJ34:AJ43)</f>
        <v>684326500</v>
      </c>
      <c r="AP44" s="83" t="s">
        <v>47</v>
      </c>
      <c r="AQ44" s="96">
        <v>1.6499999999999997</v>
      </c>
    </row>
    <row r="45" spans="1:43" ht="15.6" customHeight="1" x14ac:dyDescent="0.3">
      <c r="A45" s="46">
        <v>45415</v>
      </c>
      <c r="B45" s="81">
        <v>27</v>
      </c>
      <c r="C45" s="81">
        <v>1</v>
      </c>
      <c r="D45" s="81">
        <f t="shared" si="48"/>
        <v>5544</v>
      </c>
      <c r="E45" s="81">
        <f t="shared" ref="E45:H45" si="50">D45</f>
        <v>5544</v>
      </c>
      <c r="F45" s="81">
        <f t="shared" si="50"/>
        <v>5544</v>
      </c>
      <c r="G45" s="81">
        <f t="shared" si="50"/>
        <v>5544</v>
      </c>
      <c r="H45" s="81">
        <f t="shared" si="50"/>
        <v>5544</v>
      </c>
      <c r="I45" s="81">
        <f t="shared" si="41"/>
        <v>27720</v>
      </c>
      <c r="J45" s="81">
        <f t="shared" si="16"/>
        <v>277200</v>
      </c>
      <c r="L45" s="93"/>
      <c r="M45" s="99"/>
      <c r="N45" s="99"/>
      <c r="O45" s="100"/>
      <c r="P45" s="99"/>
      <c r="R45" s="83" t="s">
        <v>123</v>
      </c>
      <c r="S45" s="113"/>
      <c r="T45" s="94">
        <v>16.3</v>
      </c>
      <c r="U45" s="94">
        <v>2.68</v>
      </c>
      <c r="V45" s="83">
        <v>226800</v>
      </c>
      <c r="W45" s="83">
        <v>3640</v>
      </c>
      <c r="X45" s="83">
        <f t="shared" si="45"/>
        <v>9027.2000000000007</v>
      </c>
      <c r="Y45" s="93">
        <f t="shared" si="46"/>
        <v>728</v>
      </c>
      <c r="Z45" s="96">
        <f t="shared" si="47"/>
        <v>2.2800000000000002</v>
      </c>
      <c r="AP45" s="83" t="s">
        <v>46</v>
      </c>
      <c r="AQ45" s="96">
        <v>1.66</v>
      </c>
    </row>
    <row r="46" spans="1:43" ht="15.6" customHeight="1" x14ac:dyDescent="0.3">
      <c r="A46" s="46">
        <v>45416</v>
      </c>
      <c r="B46" s="81">
        <v>28</v>
      </c>
      <c r="C46" s="81">
        <v>1</v>
      </c>
      <c r="D46" s="81">
        <f t="shared" si="48"/>
        <v>5846.4</v>
      </c>
      <c r="E46" s="81">
        <f t="shared" ref="E46:H46" si="51">D46</f>
        <v>5846.4</v>
      </c>
      <c r="F46" s="81">
        <f t="shared" si="51"/>
        <v>5846.4</v>
      </c>
      <c r="G46" s="81">
        <f t="shared" si="51"/>
        <v>5846.4</v>
      </c>
      <c r="H46" s="81">
        <f t="shared" si="51"/>
        <v>5846.4</v>
      </c>
      <c r="I46" s="81">
        <f t="shared" si="41"/>
        <v>29232</v>
      </c>
      <c r="J46" s="81">
        <f t="shared" si="16"/>
        <v>292320</v>
      </c>
      <c r="L46" s="93"/>
      <c r="M46" s="99"/>
      <c r="N46" s="99"/>
      <c r="O46" s="100"/>
      <c r="P46" s="99"/>
      <c r="R46" s="83" t="s">
        <v>50</v>
      </c>
      <c r="S46" s="113"/>
      <c r="T46" s="94">
        <v>16.5</v>
      </c>
      <c r="U46" s="94">
        <v>2.65</v>
      </c>
      <c r="V46" s="83">
        <v>215730</v>
      </c>
      <c r="W46" s="83">
        <v>3447</v>
      </c>
      <c r="X46" s="83">
        <f t="shared" si="45"/>
        <v>8445.15</v>
      </c>
      <c r="Y46" s="93">
        <f t="shared" si="46"/>
        <v>689.40000000000009</v>
      </c>
      <c r="Z46" s="96">
        <f t="shared" si="47"/>
        <v>2.25</v>
      </c>
    </row>
    <row r="47" spans="1:43" ht="15.6" customHeight="1" x14ac:dyDescent="0.3">
      <c r="A47" s="46">
        <v>45417</v>
      </c>
      <c r="B47" s="81">
        <v>29</v>
      </c>
      <c r="C47" s="81">
        <v>1</v>
      </c>
      <c r="D47" s="81">
        <f t="shared" si="48"/>
        <v>6148.8</v>
      </c>
      <c r="E47" s="81">
        <f t="shared" ref="E47:H47" si="52">D47</f>
        <v>6148.8</v>
      </c>
      <c r="F47" s="81">
        <f t="shared" si="52"/>
        <v>6148.8</v>
      </c>
      <c r="G47" s="81">
        <f t="shared" si="52"/>
        <v>6148.8</v>
      </c>
      <c r="H47" s="81">
        <f t="shared" si="52"/>
        <v>6148.8</v>
      </c>
      <c r="I47" s="81">
        <f t="shared" si="41"/>
        <v>30744</v>
      </c>
      <c r="J47" s="81">
        <f t="shared" si="16"/>
        <v>307440</v>
      </c>
      <c r="R47" s="83" t="s">
        <v>49</v>
      </c>
      <c r="S47" s="113"/>
      <c r="T47" s="94">
        <v>15.5</v>
      </c>
      <c r="U47" s="94">
        <v>2.85</v>
      </c>
      <c r="V47" s="83">
        <v>189363</v>
      </c>
      <c r="W47" s="83">
        <v>2900</v>
      </c>
      <c r="X47" s="83">
        <f t="shared" si="45"/>
        <v>7685</v>
      </c>
      <c r="Y47" s="93">
        <f t="shared" si="46"/>
        <v>580</v>
      </c>
      <c r="Z47" s="96">
        <f t="shared" si="47"/>
        <v>2.4500000000000002</v>
      </c>
    </row>
    <row r="48" spans="1:43" ht="15.6" customHeight="1" x14ac:dyDescent="0.3">
      <c r="A48" s="46">
        <v>45418</v>
      </c>
      <c r="B48" s="81">
        <v>30</v>
      </c>
      <c r="C48" s="81">
        <v>1</v>
      </c>
      <c r="D48" s="81">
        <f t="shared" si="48"/>
        <v>6451.2</v>
      </c>
      <c r="E48" s="81">
        <f t="shared" ref="E48:H48" si="53">D48</f>
        <v>6451.2</v>
      </c>
      <c r="F48" s="81">
        <f t="shared" si="53"/>
        <v>6451.2</v>
      </c>
      <c r="G48" s="81">
        <f t="shared" si="53"/>
        <v>6451.2</v>
      </c>
      <c r="H48" s="81">
        <f t="shared" si="53"/>
        <v>6451.2</v>
      </c>
      <c r="I48" s="81">
        <f t="shared" si="41"/>
        <v>32256</v>
      </c>
      <c r="J48" s="81">
        <f t="shared" si="16"/>
        <v>322560</v>
      </c>
      <c r="L48" s="99"/>
      <c r="M48" s="99"/>
      <c r="N48" s="99"/>
      <c r="O48" s="99"/>
      <c r="P48" s="99"/>
      <c r="R48" s="83" t="s">
        <v>48</v>
      </c>
      <c r="S48" s="113"/>
      <c r="T48" s="94">
        <v>15.8</v>
      </c>
      <c r="U48" s="94">
        <v>2.79</v>
      </c>
      <c r="V48" s="83">
        <v>191760</v>
      </c>
      <c r="W48" s="83">
        <v>2959</v>
      </c>
      <c r="X48" s="83">
        <f t="shared" si="45"/>
        <v>7663.81</v>
      </c>
      <c r="Y48" s="93">
        <f t="shared" si="46"/>
        <v>591.80000000000007</v>
      </c>
      <c r="Z48" s="96">
        <f t="shared" si="47"/>
        <v>2.39</v>
      </c>
      <c r="AF48" s="105" t="s">
        <v>248</v>
      </c>
      <c r="AG48" s="105"/>
      <c r="AH48" s="105"/>
      <c r="AI48" s="105"/>
      <c r="AJ48" s="105"/>
    </row>
    <row r="49" spans="1:36" ht="15.6" customHeight="1" x14ac:dyDescent="0.3">
      <c r="A49" s="46">
        <v>45419</v>
      </c>
      <c r="B49" s="81">
        <v>31</v>
      </c>
      <c r="C49" s="81">
        <v>1</v>
      </c>
      <c r="D49" s="81">
        <f t="shared" si="48"/>
        <v>6753.6</v>
      </c>
      <c r="E49" s="81">
        <f t="shared" ref="E49:H49" si="54">D49</f>
        <v>6753.6</v>
      </c>
      <c r="F49" s="81">
        <f t="shared" si="54"/>
        <v>6753.6</v>
      </c>
      <c r="G49" s="81">
        <f t="shared" si="54"/>
        <v>6753.6</v>
      </c>
      <c r="H49" s="81">
        <f t="shared" si="54"/>
        <v>6753.6</v>
      </c>
      <c r="I49" s="95">
        <f>I4</f>
        <v>33768</v>
      </c>
      <c r="J49" s="81">
        <f t="shared" si="16"/>
        <v>337680</v>
      </c>
      <c r="L49" s="99"/>
      <c r="M49" s="99"/>
      <c r="N49" s="99"/>
      <c r="O49" s="99"/>
      <c r="P49" s="99"/>
      <c r="R49" s="83" t="s">
        <v>47</v>
      </c>
      <c r="S49" s="113"/>
      <c r="T49" s="94">
        <v>15.700000000000003</v>
      </c>
      <c r="U49" s="94">
        <v>2.79</v>
      </c>
      <c r="V49" s="83">
        <v>191760</v>
      </c>
      <c r="W49" s="83">
        <v>2940</v>
      </c>
      <c r="X49" s="83">
        <f t="shared" si="45"/>
        <v>7614.6</v>
      </c>
      <c r="Y49" s="93">
        <f t="shared" si="46"/>
        <v>588</v>
      </c>
      <c r="Z49" s="96">
        <f t="shared" si="47"/>
        <v>2.39</v>
      </c>
      <c r="AG49" s="83" t="s">
        <v>133</v>
      </c>
      <c r="AH49" s="83" t="s">
        <v>244</v>
      </c>
      <c r="AI49" s="83" t="s">
        <v>245</v>
      </c>
      <c r="AJ49" s="83" t="s">
        <v>246</v>
      </c>
    </row>
    <row r="50" spans="1:36" ht="15.6" customHeight="1" x14ac:dyDescent="0.3">
      <c r="A50" s="46">
        <v>45420</v>
      </c>
      <c r="B50" s="81">
        <v>32</v>
      </c>
      <c r="C50" s="81">
        <v>1</v>
      </c>
      <c r="D50" s="81">
        <f t="shared" si="48"/>
        <v>7056</v>
      </c>
      <c r="E50" s="81">
        <f t="shared" ref="E50:H50" si="55">D50</f>
        <v>7056</v>
      </c>
      <c r="F50" s="81">
        <f t="shared" si="55"/>
        <v>7056</v>
      </c>
      <c r="G50" s="81">
        <f t="shared" si="55"/>
        <v>7056</v>
      </c>
      <c r="H50" s="81">
        <f t="shared" si="55"/>
        <v>7056</v>
      </c>
      <c r="I50" s="95">
        <f>I5</f>
        <v>35280</v>
      </c>
      <c r="J50" s="81">
        <f t="shared" si="16"/>
        <v>352800</v>
      </c>
      <c r="L50" s="93"/>
      <c r="M50" s="99"/>
      <c r="N50" s="99"/>
      <c r="O50" s="100"/>
      <c r="P50" s="99"/>
      <c r="R50" s="83" t="s">
        <v>46</v>
      </c>
      <c r="S50" s="113"/>
      <c r="T50" s="94">
        <v>15.5</v>
      </c>
      <c r="U50" s="94">
        <v>2.85</v>
      </c>
      <c r="V50" s="83">
        <v>189363</v>
      </c>
      <c r="W50" s="83">
        <v>2900</v>
      </c>
      <c r="X50" s="83">
        <f t="shared" si="45"/>
        <v>7685</v>
      </c>
      <c r="Y50" s="93">
        <f t="shared" si="46"/>
        <v>580</v>
      </c>
      <c r="Z50" s="96">
        <f t="shared" si="47"/>
        <v>2.4500000000000002</v>
      </c>
      <c r="AF50" s="83" t="s">
        <v>119</v>
      </c>
      <c r="AG50" s="83">
        <f t="shared" ref="AG50:AG59" si="56">AG34-AH34</f>
        <v>162800</v>
      </c>
      <c r="AH50" s="83">
        <f>AG50-AH2</f>
        <v>47904</v>
      </c>
      <c r="AI50" s="83">
        <v>1005</v>
      </c>
      <c r="AJ50" s="83">
        <f>AI50*60250</f>
        <v>60551250</v>
      </c>
    </row>
    <row r="51" spans="1:36" ht="15.6" customHeight="1" x14ac:dyDescent="0.3">
      <c r="A51" s="46">
        <v>45421</v>
      </c>
      <c r="B51" s="81">
        <v>33</v>
      </c>
      <c r="C51" s="81">
        <v>1</v>
      </c>
      <c r="D51" s="81">
        <f t="shared" si="48"/>
        <v>7358.4</v>
      </c>
      <c r="E51" s="81">
        <f t="shared" ref="E51:H51" si="57">D51</f>
        <v>7358.4</v>
      </c>
      <c r="F51" s="81">
        <f t="shared" si="57"/>
        <v>7358.4</v>
      </c>
      <c r="G51" s="81">
        <f t="shared" si="57"/>
        <v>7358.4</v>
      </c>
      <c r="H51" s="81">
        <f t="shared" si="57"/>
        <v>7358.4</v>
      </c>
      <c r="I51" s="95">
        <f>I6</f>
        <v>36792</v>
      </c>
      <c r="J51" s="81">
        <f t="shared" si="16"/>
        <v>367920</v>
      </c>
      <c r="L51" s="93"/>
      <c r="M51" s="99"/>
      <c r="N51" s="99"/>
      <c r="O51" s="100"/>
      <c r="P51" s="99"/>
      <c r="AF51" s="83" t="s">
        <v>120</v>
      </c>
      <c r="AG51" s="83">
        <f t="shared" si="56"/>
        <v>153480</v>
      </c>
      <c r="AH51" s="83">
        <f t="shared" ref="AH51:AH59" si="58">AG51-AH3</f>
        <v>44910</v>
      </c>
      <c r="AI51" s="83">
        <v>871</v>
      </c>
      <c r="AJ51" s="83">
        <f t="shared" ref="AJ51:AJ59" si="59">AI51*60250</f>
        <v>52477750</v>
      </c>
    </row>
    <row r="52" spans="1:36" ht="15.6" customHeight="1" x14ac:dyDescent="0.3">
      <c r="A52" s="46">
        <v>45422</v>
      </c>
      <c r="B52" s="81">
        <v>34</v>
      </c>
      <c r="C52" s="81">
        <v>1</v>
      </c>
      <c r="D52" s="81">
        <f t="shared" si="48"/>
        <v>7660.8</v>
      </c>
      <c r="E52" s="81">
        <f t="shared" ref="E52:H52" si="60">D52</f>
        <v>7660.8</v>
      </c>
      <c r="F52" s="81">
        <f t="shared" si="60"/>
        <v>7660.8</v>
      </c>
      <c r="G52" s="81">
        <f t="shared" si="60"/>
        <v>7660.8</v>
      </c>
      <c r="H52" s="81">
        <f t="shared" si="60"/>
        <v>7660.8</v>
      </c>
      <c r="I52" s="95">
        <f>I7</f>
        <v>38304</v>
      </c>
      <c r="J52" s="81">
        <f t="shared" si="16"/>
        <v>383040</v>
      </c>
      <c r="AF52" s="83" t="s">
        <v>121</v>
      </c>
      <c r="AG52" s="83">
        <f t="shared" si="56"/>
        <v>162800</v>
      </c>
      <c r="AH52" s="83">
        <f t="shared" si="58"/>
        <v>47904</v>
      </c>
      <c r="AI52" s="83">
        <v>967</v>
      </c>
      <c r="AJ52" s="83">
        <f t="shared" si="59"/>
        <v>58261750</v>
      </c>
    </row>
    <row r="53" spans="1:36" ht="15.6" customHeight="1" x14ac:dyDescent="0.3">
      <c r="A53" s="46">
        <v>45423</v>
      </c>
      <c r="B53" s="81">
        <v>35</v>
      </c>
      <c r="C53" s="81">
        <v>1</v>
      </c>
      <c r="D53" s="81">
        <f t="shared" si="48"/>
        <v>7963.2</v>
      </c>
      <c r="E53" s="81">
        <f t="shared" ref="E53:H53" si="61">D53</f>
        <v>7963.2</v>
      </c>
      <c r="F53" s="81">
        <f t="shared" si="61"/>
        <v>7963.2</v>
      </c>
      <c r="G53" s="81">
        <f t="shared" si="61"/>
        <v>7963.2</v>
      </c>
      <c r="H53" s="81">
        <f t="shared" si="61"/>
        <v>7963.2</v>
      </c>
      <c r="I53" s="95">
        <f>I8</f>
        <v>39816</v>
      </c>
      <c r="J53" s="81">
        <f t="shared" si="16"/>
        <v>398160</v>
      </c>
      <c r="L53" s="83">
        <f>SUM(I19:I53)</f>
        <v>612360</v>
      </c>
      <c r="R53" s="84" t="s">
        <v>52</v>
      </c>
      <c r="S53" s="82" t="s">
        <v>57</v>
      </c>
      <c r="T53" s="83" t="s">
        <v>207</v>
      </c>
      <c r="U53" s="88" t="s">
        <v>206</v>
      </c>
      <c r="V53" s="82" t="s">
        <v>203</v>
      </c>
      <c r="W53" s="82" t="s">
        <v>205</v>
      </c>
      <c r="X53" s="82" t="s">
        <v>204</v>
      </c>
      <c r="Y53" s="83" t="s">
        <v>210</v>
      </c>
      <c r="Z53" s="83" t="s">
        <v>140</v>
      </c>
      <c r="AF53" s="83" t="s">
        <v>122</v>
      </c>
      <c r="AG53" s="83">
        <f t="shared" si="56"/>
        <v>153480</v>
      </c>
      <c r="AH53" s="83">
        <f t="shared" si="58"/>
        <v>44910</v>
      </c>
      <c r="AI53" s="83">
        <v>907</v>
      </c>
      <c r="AJ53" s="83">
        <f t="shared" si="59"/>
        <v>54646750</v>
      </c>
    </row>
    <row r="54" spans="1:36" ht="14.4" customHeight="1" x14ac:dyDescent="0.3">
      <c r="A54" s="46" t="s">
        <v>236</v>
      </c>
      <c r="B54" s="81">
        <v>86</v>
      </c>
      <c r="C54" s="90" t="s">
        <v>61</v>
      </c>
      <c r="D54" s="81">
        <f>J54*22%</f>
        <v>79888.600000000006</v>
      </c>
      <c r="E54" s="81">
        <f>23%*J54</f>
        <v>83519.900000000009</v>
      </c>
      <c r="F54" s="81">
        <f>J54*23%</f>
        <v>83519.900000000009</v>
      </c>
      <c r="G54" s="81">
        <f>22%*J54</f>
        <v>79888.600000000006</v>
      </c>
      <c r="H54" s="81">
        <f>10%*I54</f>
        <v>3631.3</v>
      </c>
      <c r="I54" s="81">
        <f>J54/10</f>
        <v>36313</v>
      </c>
      <c r="J54" s="81">
        <v>363130</v>
      </c>
      <c r="R54" s="83" t="s">
        <v>119</v>
      </c>
      <c r="S54" s="113">
        <v>75</v>
      </c>
      <c r="T54" s="94">
        <v>18.700000000000003</v>
      </c>
      <c r="U54" s="94">
        <v>2.46</v>
      </c>
      <c r="V54" s="83">
        <v>162800</v>
      </c>
      <c r="W54" s="83">
        <v>2885</v>
      </c>
      <c r="X54" s="83">
        <f>W54*U54-Y54</f>
        <v>6520.0999999999995</v>
      </c>
      <c r="Y54" s="93">
        <f>20%*W54</f>
        <v>577</v>
      </c>
      <c r="Z54" s="96">
        <f>(X54-Y54)/W54</f>
        <v>2.0599999999999996</v>
      </c>
      <c r="AF54" s="83" t="s">
        <v>123</v>
      </c>
      <c r="AG54" s="83">
        <f t="shared" si="56"/>
        <v>153480</v>
      </c>
      <c r="AH54" s="83">
        <f t="shared" si="58"/>
        <v>44910</v>
      </c>
      <c r="AI54" s="83">
        <v>961</v>
      </c>
      <c r="AJ54" s="83">
        <f t="shared" si="59"/>
        <v>57900250</v>
      </c>
    </row>
    <row r="55" spans="1:36" x14ac:dyDescent="0.3">
      <c r="A55" s="46" t="s">
        <v>237</v>
      </c>
      <c r="B55" s="81">
        <v>87</v>
      </c>
      <c r="C55" s="90" t="s">
        <v>61</v>
      </c>
      <c r="D55" s="81">
        <f t="shared" ref="D55:D60" si="62">J55*22%</f>
        <v>79888.600000000006</v>
      </c>
      <c r="E55" s="81">
        <f t="shared" ref="E55:E60" si="63">23%*J55</f>
        <v>83519.900000000009</v>
      </c>
      <c r="F55" s="81">
        <f t="shared" ref="F55:F60" si="64">J55*23%</f>
        <v>83519.900000000009</v>
      </c>
      <c r="G55" s="81">
        <f t="shared" ref="G55:G60" si="65">22%*J55</f>
        <v>79888.600000000006</v>
      </c>
      <c r="H55" s="81">
        <f t="shared" ref="H55:H60" si="66">10%*I55</f>
        <v>3631.3</v>
      </c>
      <c r="I55" s="81">
        <f t="shared" ref="I55:I60" si="67">J55/10</f>
        <v>36313</v>
      </c>
      <c r="J55" s="81">
        <v>363130</v>
      </c>
      <c r="R55" s="83" t="s">
        <v>120</v>
      </c>
      <c r="S55" s="113"/>
      <c r="T55" s="94">
        <v>17.3</v>
      </c>
      <c r="U55" s="94">
        <v>2.56</v>
      </c>
      <c r="V55" s="83">
        <v>153480</v>
      </c>
      <c r="W55" s="83">
        <v>2595</v>
      </c>
      <c r="X55" s="83">
        <f t="shared" ref="X55:X63" si="68">W55*U55-Y55</f>
        <v>6124.2</v>
      </c>
      <c r="Y55" s="93">
        <f t="shared" ref="Y55:Y63" si="69">20%*W55</f>
        <v>519</v>
      </c>
      <c r="Z55" s="96">
        <f t="shared" ref="Z55:Z63" si="70">(X55-Y55)/W55</f>
        <v>2.16</v>
      </c>
      <c r="AF55" s="83" t="s">
        <v>50</v>
      </c>
      <c r="AG55" s="83">
        <f t="shared" si="56"/>
        <v>123230</v>
      </c>
      <c r="AH55" s="83">
        <f t="shared" si="58"/>
        <v>47904</v>
      </c>
      <c r="AI55" s="83">
        <v>1029</v>
      </c>
      <c r="AJ55" s="83">
        <f t="shared" si="59"/>
        <v>61997250</v>
      </c>
    </row>
    <row r="56" spans="1:36" x14ac:dyDescent="0.3">
      <c r="A56" s="46" t="s">
        <v>238</v>
      </c>
      <c r="B56" s="81">
        <v>88</v>
      </c>
      <c r="C56" s="90" t="s">
        <v>61</v>
      </c>
      <c r="D56" s="81">
        <f t="shared" si="62"/>
        <v>79888.600000000006</v>
      </c>
      <c r="E56" s="81">
        <f t="shared" si="63"/>
        <v>83519.900000000009</v>
      </c>
      <c r="F56" s="81">
        <f t="shared" si="64"/>
        <v>83519.900000000009</v>
      </c>
      <c r="G56" s="81">
        <f t="shared" si="65"/>
        <v>79888.600000000006</v>
      </c>
      <c r="H56" s="81">
        <f t="shared" si="66"/>
        <v>3631.3</v>
      </c>
      <c r="I56" s="81">
        <f t="shared" si="67"/>
        <v>36313</v>
      </c>
      <c r="J56" s="81">
        <v>363130</v>
      </c>
      <c r="R56" s="83" t="s">
        <v>121</v>
      </c>
      <c r="S56" s="113"/>
      <c r="T56" s="94">
        <v>17.8</v>
      </c>
      <c r="U56" s="94">
        <v>2.63</v>
      </c>
      <c r="V56" s="83">
        <v>162800</v>
      </c>
      <c r="W56" s="83">
        <v>2746</v>
      </c>
      <c r="X56" s="83">
        <f t="shared" si="68"/>
        <v>6672.78</v>
      </c>
      <c r="Y56" s="93">
        <f t="shared" si="69"/>
        <v>549.20000000000005</v>
      </c>
      <c r="Z56" s="96">
        <f t="shared" si="70"/>
        <v>2.23</v>
      </c>
      <c r="AF56" s="83" t="s">
        <v>49</v>
      </c>
      <c r="AG56" s="83">
        <f t="shared" si="56"/>
        <v>125363</v>
      </c>
      <c r="AH56" s="83">
        <f t="shared" si="58"/>
        <v>47904</v>
      </c>
      <c r="AI56" s="83">
        <v>953</v>
      </c>
      <c r="AJ56" s="83">
        <f t="shared" si="59"/>
        <v>57418250</v>
      </c>
    </row>
    <row r="57" spans="1:36" x14ac:dyDescent="0.3">
      <c r="A57" s="46" t="s">
        <v>239</v>
      </c>
      <c r="B57" s="81">
        <v>89</v>
      </c>
      <c r="C57" s="90" t="s">
        <v>61</v>
      </c>
      <c r="D57" s="81">
        <f t="shared" si="62"/>
        <v>79888.600000000006</v>
      </c>
      <c r="E57" s="81">
        <f t="shared" si="63"/>
        <v>83519.900000000009</v>
      </c>
      <c r="F57" s="81">
        <f t="shared" si="64"/>
        <v>83519.900000000009</v>
      </c>
      <c r="G57" s="81">
        <f t="shared" si="65"/>
        <v>79888.600000000006</v>
      </c>
      <c r="H57" s="81">
        <f t="shared" si="66"/>
        <v>3631.3</v>
      </c>
      <c r="I57" s="81">
        <f t="shared" si="67"/>
        <v>36313</v>
      </c>
      <c r="J57" s="81">
        <v>363130</v>
      </c>
      <c r="R57" s="83" t="s">
        <v>122</v>
      </c>
      <c r="S57" s="113"/>
      <c r="T57" s="94">
        <v>18</v>
      </c>
      <c r="U57" s="94">
        <v>2.4900000000000002</v>
      </c>
      <c r="V57" s="83">
        <v>153480</v>
      </c>
      <c r="W57" s="83">
        <v>2619</v>
      </c>
      <c r="X57" s="83">
        <f t="shared" si="68"/>
        <v>5997.51</v>
      </c>
      <c r="Y57" s="93">
        <f t="shared" si="69"/>
        <v>523.80000000000007</v>
      </c>
      <c r="Z57" s="96">
        <f t="shared" si="70"/>
        <v>2.09</v>
      </c>
      <c r="AF57" s="83" t="s">
        <v>48</v>
      </c>
      <c r="AG57" s="83">
        <f t="shared" si="56"/>
        <v>118440</v>
      </c>
      <c r="AH57" s="83">
        <f t="shared" si="58"/>
        <v>44910</v>
      </c>
      <c r="AI57" s="83">
        <v>943</v>
      </c>
      <c r="AJ57" s="83">
        <f t="shared" si="59"/>
        <v>56815750</v>
      </c>
    </row>
    <row r="58" spans="1:36" x14ac:dyDescent="0.3">
      <c r="A58" s="46" t="s">
        <v>240</v>
      </c>
      <c r="B58" s="81">
        <v>90</v>
      </c>
      <c r="C58" s="90" t="s">
        <v>61</v>
      </c>
      <c r="D58" s="81">
        <f t="shared" si="62"/>
        <v>79888.600000000006</v>
      </c>
      <c r="E58" s="81">
        <f t="shared" si="63"/>
        <v>83519.900000000009</v>
      </c>
      <c r="F58" s="81">
        <f t="shared" si="64"/>
        <v>83519.900000000009</v>
      </c>
      <c r="G58" s="81">
        <f t="shared" si="65"/>
        <v>79888.600000000006</v>
      </c>
      <c r="H58" s="81">
        <f t="shared" si="66"/>
        <v>3631.3</v>
      </c>
      <c r="I58" s="81">
        <f t="shared" si="67"/>
        <v>36313</v>
      </c>
      <c r="J58" s="81">
        <v>363130</v>
      </c>
      <c r="R58" s="83" t="s">
        <v>123</v>
      </c>
      <c r="S58" s="113"/>
      <c r="T58" s="94">
        <v>18.900000000000002</v>
      </c>
      <c r="U58" s="94">
        <v>2.46</v>
      </c>
      <c r="V58" s="83">
        <v>153480</v>
      </c>
      <c r="W58" s="83">
        <v>2835</v>
      </c>
      <c r="X58" s="83">
        <f t="shared" si="68"/>
        <v>6407.0999999999995</v>
      </c>
      <c r="Y58" s="93">
        <f t="shared" si="69"/>
        <v>567</v>
      </c>
      <c r="Z58" s="96">
        <f t="shared" si="70"/>
        <v>2.0599999999999996</v>
      </c>
      <c r="AB58" s="96">
        <f t="shared" ref="AB58:AB67" si="71">T54-T41</f>
        <v>2.3000000000000007</v>
      </c>
      <c r="AC58" s="94">
        <f>AB58/2</f>
        <v>1.1500000000000004</v>
      </c>
      <c r="AD58" s="94">
        <f t="shared" ref="AD58:AD67" si="72">T41+AC58</f>
        <v>17.550000000000004</v>
      </c>
      <c r="AF58" s="83" t="s">
        <v>47</v>
      </c>
      <c r="AG58" s="83">
        <f t="shared" si="56"/>
        <v>118440</v>
      </c>
      <c r="AH58" s="83">
        <f t="shared" si="58"/>
        <v>44910</v>
      </c>
      <c r="AI58" s="83">
        <v>911</v>
      </c>
      <c r="AJ58" s="83">
        <f t="shared" si="59"/>
        <v>54887750</v>
      </c>
    </row>
    <row r="59" spans="1:36" x14ac:dyDescent="0.3">
      <c r="A59" s="46" t="s">
        <v>241</v>
      </c>
      <c r="B59" s="81">
        <v>91</v>
      </c>
      <c r="C59" s="90" t="s">
        <v>61</v>
      </c>
      <c r="D59" s="81">
        <f t="shared" si="62"/>
        <v>79888.600000000006</v>
      </c>
      <c r="E59" s="81">
        <f t="shared" si="63"/>
        <v>83519.900000000009</v>
      </c>
      <c r="F59" s="81">
        <f t="shared" si="64"/>
        <v>83519.900000000009</v>
      </c>
      <c r="G59" s="81">
        <f t="shared" si="65"/>
        <v>79888.600000000006</v>
      </c>
      <c r="H59" s="81">
        <f t="shared" si="66"/>
        <v>3631.3</v>
      </c>
      <c r="I59" s="81">
        <f t="shared" si="67"/>
        <v>36313</v>
      </c>
      <c r="J59" s="81">
        <v>363130</v>
      </c>
      <c r="R59" s="83" t="s">
        <v>50</v>
      </c>
      <c r="S59" s="113"/>
      <c r="T59" s="94">
        <v>19</v>
      </c>
      <c r="U59" s="94">
        <v>2.46</v>
      </c>
      <c r="V59" s="83">
        <v>123230</v>
      </c>
      <c r="W59" s="83">
        <v>2212</v>
      </c>
      <c r="X59" s="83">
        <f t="shared" si="68"/>
        <v>4999.12</v>
      </c>
      <c r="Y59" s="93">
        <f t="shared" si="69"/>
        <v>442.40000000000003</v>
      </c>
      <c r="Z59" s="96">
        <f t="shared" si="70"/>
        <v>2.06</v>
      </c>
      <c r="AB59" s="96">
        <f t="shared" si="71"/>
        <v>2.0999999999999996</v>
      </c>
      <c r="AC59" s="94">
        <f t="shared" ref="AC59:AC67" si="73">AB59/2</f>
        <v>1.0499999999999998</v>
      </c>
      <c r="AD59" s="94">
        <f t="shared" si="72"/>
        <v>16.25</v>
      </c>
      <c r="AF59" s="83" t="s">
        <v>46</v>
      </c>
      <c r="AG59" s="83">
        <f t="shared" si="56"/>
        <v>125363</v>
      </c>
      <c r="AH59" s="83">
        <f t="shared" si="58"/>
        <v>47904</v>
      </c>
      <c r="AI59" s="83">
        <v>943</v>
      </c>
      <c r="AJ59" s="83">
        <f t="shared" si="59"/>
        <v>56815750</v>
      </c>
    </row>
    <row r="60" spans="1:36" x14ac:dyDescent="0.3">
      <c r="A60" s="46" t="s">
        <v>242</v>
      </c>
      <c r="B60" s="81">
        <v>92</v>
      </c>
      <c r="C60" s="90" t="s">
        <v>61</v>
      </c>
      <c r="D60" s="81">
        <f t="shared" si="62"/>
        <v>79888.600000000006</v>
      </c>
      <c r="E60" s="81">
        <f t="shared" si="63"/>
        <v>83519.900000000009</v>
      </c>
      <c r="F60" s="81">
        <f t="shared" si="64"/>
        <v>83519.900000000009</v>
      </c>
      <c r="G60" s="81">
        <f t="shared" si="65"/>
        <v>79888.600000000006</v>
      </c>
      <c r="H60" s="81">
        <f t="shared" si="66"/>
        <v>3631.3</v>
      </c>
      <c r="I60" s="81">
        <f t="shared" si="67"/>
        <v>36313</v>
      </c>
      <c r="J60" s="81">
        <v>363130</v>
      </c>
      <c r="R60" s="83" t="s">
        <v>49</v>
      </c>
      <c r="S60" s="113"/>
      <c r="T60" s="94">
        <v>17.7</v>
      </c>
      <c r="U60" s="94">
        <v>2.5299999999999998</v>
      </c>
      <c r="V60" s="83">
        <v>125363</v>
      </c>
      <c r="W60" s="83">
        <v>2178</v>
      </c>
      <c r="X60" s="83">
        <f t="shared" si="68"/>
        <v>5074.7399999999989</v>
      </c>
      <c r="Y60" s="93">
        <f t="shared" si="69"/>
        <v>435.6</v>
      </c>
      <c r="Z60" s="96">
        <f t="shared" si="70"/>
        <v>2.1299999999999994</v>
      </c>
      <c r="AB60" s="96">
        <f t="shared" si="71"/>
        <v>2.3999999999999986</v>
      </c>
      <c r="AC60" s="94">
        <f t="shared" si="73"/>
        <v>1.1999999999999993</v>
      </c>
      <c r="AD60" s="94">
        <f t="shared" si="72"/>
        <v>16.600000000000001</v>
      </c>
      <c r="AF60" s="105" t="s">
        <v>2</v>
      </c>
      <c r="AG60" s="105"/>
      <c r="AH60" s="83">
        <f>SUM(AH50:AH59)</f>
        <v>464070</v>
      </c>
      <c r="AI60" s="83">
        <f>SUM(AI50:AI59)</f>
        <v>9490</v>
      </c>
      <c r="AJ60" s="83">
        <f>SUM(AJ50:AJ59)</f>
        <v>571772500</v>
      </c>
    </row>
    <row r="61" spans="1:36" ht="14.4" customHeight="1" x14ac:dyDescent="0.3">
      <c r="A61" s="46" t="s">
        <v>211</v>
      </c>
      <c r="B61" s="81">
        <v>93</v>
      </c>
      <c r="C61" s="90" t="s">
        <v>61</v>
      </c>
      <c r="D61" s="117" t="s">
        <v>65</v>
      </c>
      <c r="E61" s="117"/>
      <c r="F61" s="117"/>
      <c r="G61" s="117"/>
      <c r="H61" s="117"/>
      <c r="I61" s="117"/>
      <c r="J61" s="117"/>
      <c r="R61" s="83" t="s">
        <v>48</v>
      </c>
      <c r="S61" s="113"/>
      <c r="T61" s="94">
        <v>18.400000000000002</v>
      </c>
      <c r="U61" s="94">
        <v>2.48</v>
      </c>
      <c r="V61" s="83">
        <v>118440</v>
      </c>
      <c r="W61" s="83">
        <v>2097</v>
      </c>
      <c r="X61" s="83">
        <f t="shared" si="68"/>
        <v>4781.1600000000008</v>
      </c>
      <c r="Y61" s="93">
        <f t="shared" si="69"/>
        <v>419.40000000000003</v>
      </c>
      <c r="Z61" s="96">
        <f t="shared" si="70"/>
        <v>2.0800000000000005</v>
      </c>
      <c r="AB61" s="96">
        <f t="shared" si="71"/>
        <v>2.2000000000000011</v>
      </c>
      <c r="AC61" s="94">
        <f t="shared" si="73"/>
        <v>1.1000000000000005</v>
      </c>
      <c r="AD61" s="94">
        <f t="shared" si="72"/>
        <v>16.899999999999999</v>
      </c>
    </row>
    <row r="62" spans="1:36" ht="14.4" customHeight="1" x14ac:dyDescent="0.3">
      <c r="A62" s="46" t="s">
        <v>212</v>
      </c>
      <c r="B62" s="81">
        <v>94</v>
      </c>
      <c r="C62" s="90" t="s">
        <v>62</v>
      </c>
      <c r="D62" s="117"/>
      <c r="E62" s="117"/>
      <c r="F62" s="117"/>
      <c r="G62" s="117"/>
      <c r="H62" s="117"/>
      <c r="I62" s="117"/>
      <c r="J62" s="117"/>
      <c r="R62" s="83" t="s">
        <v>47</v>
      </c>
      <c r="S62" s="113"/>
      <c r="T62" s="94">
        <v>18.000000000000004</v>
      </c>
      <c r="U62" s="94">
        <v>2.4900000000000002</v>
      </c>
      <c r="V62" s="83">
        <v>118440</v>
      </c>
      <c r="W62" s="83">
        <v>2051</v>
      </c>
      <c r="X62" s="83">
        <f t="shared" si="68"/>
        <v>4696.7900000000009</v>
      </c>
      <c r="Y62" s="93">
        <f t="shared" si="69"/>
        <v>410.20000000000005</v>
      </c>
      <c r="Z62" s="96">
        <f t="shared" si="70"/>
        <v>2.0900000000000003</v>
      </c>
      <c r="AB62" s="96">
        <f t="shared" si="71"/>
        <v>2.6000000000000014</v>
      </c>
      <c r="AC62" s="94">
        <f t="shared" si="73"/>
        <v>1.3000000000000007</v>
      </c>
      <c r="AD62" s="94">
        <f t="shared" si="72"/>
        <v>17.600000000000001</v>
      </c>
      <c r="AF62" s="105" t="s">
        <v>113</v>
      </c>
      <c r="AG62" s="105"/>
      <c r="AH62" s="105"/>
      <c r="AI62" s="105"/>
      <c r="AJ62" s="105"/>
    </row>
    <row r="63" spans="1:36" ht="14.4" customHeight="1" x14ac:dyDescent="0.3">
      <c r="A63" s="46" t="s">
        <v>155</v>
      </c>
      <c r="B63" s="81">
        <v>95</v>
      </c>
      <c r="C63" s="90" t="s">
        <v>62</v>
      </c>
      <c r="D63" s="117"/>
      <c r="E63" s="117"/>
      <c r="F63" s="117"/>
      <c r="G63" s="117"/>
      <c r="H63" s="117"/>
      <c r="I63" s="117"/>
      <c r="J63" s="117"/>
      <c r="R63" s="83" t="s">
        <v>46</v>
      </c>
      <c r="S63" s="113"/>
      <c r="T63" s="94">
        <v>17.600000000000001</v>
      </c>
      <c r="U63" s="94">
        <v>2.5299999999999998</v>
      </c>
      <c r="V63" s="83">
        <v>125363</v>
      </c>
      <c r="W63" s="83">
        <v>2166</v>
      </c>
      <c r="X63" s="83">
        <f t="shared" si="68"/>
        <v>5046.78</v>
      </c>
      <c r="Y63" s="93">
        <f t="shared" si="69"/>
        <v>433.20000000000005</v>
      </c>
      <c r="Z63" s="96">
        <f t="shared" si="70"/>
        <v>2.13</v>
      </c>
      <c r="AB63" s="96">
        <f t="shared" si="71"/>
        <v>2.5</v>
      </c>
      <c r="AC63" s="94">
        <f t="shared" si="73"/>
        <v>1.25</v>
      </c>
      <c r="AD63" s="94">
        <f t="shared" si="72"/>
        <v>17.75</v>
      </c>
      <c r="AG63" s="83" t="s">
        <v>133</v>
      </c>
      <c r="AH63" s="83" t="s">
        <v>244</v>
      </c>
      <c r="AI63" s="83" t="s">
        <v>245</v>
      </c>
      <c r="AJ63" s="83" t="s">
        <v>249</v>
      </c>
    </row>
    <row r="64" spans="1:36" x14ac:dyDescent="0.3">
      <c r="A64" s="81" t="s">
        <v>213</v>
      </c>
      <c r="B64" s="81">
        <v>96</v>
      </c>
      <c r="C64" s="90" t="s">
        <v>62</v>
      </c>
      <c r="D64" s="81">
        <f>J64*22%</f>
        <v>50473.72</v>
      </c>
      <c r="E64" s="81">
        <f>I64*23%</f>
        <v>5276.7979999999998</v>
      </c>
      <c r="F64" s="81">
        <f>J64*23%</f>
        <v>52767.98</v>
      </c>
      <c r="G64" s="81">
        <f>J64*22%</f>
        <v>50473.72</v>
      </c>
      <c r="H64" s="81">
        <f>J64*10%</f>
        <v>22942.600000000002</v>
      </c>
      <c r="I64" s="81">
        <f>J64/10</f>
        <v>22942.6</v>
      </c>
      <c r="J64" s="81">
        <v>229426</v>
      </c>
      <c r="AB64" s="96">
        <f t="shared" si="71"/>
        <v>2.1999999999999993</v>
      </c>
      <c r="AC64" s="94">
        <f t="shared" si="73"/>
        <v>1.0999999999999996</v>
      </c>
      <c r="AD64" s="94">
        <f t="shared" si="72"/>
        <v>16.600000000000001</v>
      </c>
      <c r="AF64" s="83" t="s">
        <v>119</v>
      </c>
      <c r="AG64" s="83">
        <v>114896</v>
      </c>
      <c r="AH64" s="83">
        <f>AG64-AH15</f>
        <v>32000</v>
      </c>
      <c r="AI64" s="83">
        <v>870</v>
      </c>
      <c r="AJ64" s="83">
        <f>AI64*65500</f>
        <v>56985000</v>
      </c>
    </row>
    <row r="65" spans="1:36" x14ac:dyDescent="0.3">
      <c r="A65" s="81" t="s">
        <v>214</v>
      </c>
      <c r="B65" s="81">
        <v>97</v>
      </c>
      <c r="C65" s="90" t="s">
        <v>62</v>
      </c>
      <c r="D65" s="81">
        <f t="shared" ref="D65:D87" si="74">J65*22%</f>
        <v>50473.72</v>
      </c>
      <c r="E65" s="81">
        <f t="shared" ref="E65:E87" si="75">I65*23%</f>
        <v>5276.7979999999998</v>
      </c>
      <c r="F65" s="81">
        <f t="shared" ref="F65:F87" si="76">J65*23%</f>
        <v>52767.98</v>
      </c>
      <c r="G65" s="81">
        <f t="shared" ref="G65:G87" si="77">J65*22%</f>
        <v>50473.72</v>
      </c>
      <c r="H65" s="81">
        <f t="shared" ref="H65:H87" si="78">J65*10%</f>
        <v>22942.600000000002</v>
      </c>
      <c r="I65" s="81">
        <f t="shared" ref="I65:I87" si="79">J65/10</f>
        <v>22942.6</v>
      </c>
      <c r="J65" s="81">
        <v>229426</v>
      </c>
      <c r="AB65" s="96">
        <f t="shared" si="71"/>
        <v>2.6000000000000014</v>
      </c>
      <c r="AC65" s="94">
        <f t="shared" si="73"/>
        <v>1.3000000000000007</v>
      </c>
      <c r="AD65" s="94">
        <f t="shared" si="72"/>
        <v>17.100000000000001</v>
      </c>
      <c r="AF65" s="83" t="s">
        <v>120</v>
      </c>
      <c r="AG65" s="83">
        <v>108570</v>
      </c>
      <c r="AH65" s="83">
        <f>AG65-AH16</f>
        <v>32000</v>
      </c>
      <c r="AI65" s="83">
        <v>832</v>
      </c>
      <c r="AJ65" s="83">
        <f t="shared" ref="AJ65:AJ72" si="80">AI65*65500</f>
        <v>54496000</v>
      </c>
    </row>
    <row r="66" spans="1:36" ht="15.6" x14ac:dyDescent="0.3">
      <c r="A66" s="81" t="s">
        <v>215</v>
      </c>
      <c r="B66" s="81">
        <v>98</v>
      </c>
      <c r="C66" s="90" t="s">
        <v>62</v>
      </c>
      <c r="D66" s="81">
        <f t="shared" si="74"/>
        <v>50473.72</v>
      </c>
      <c r="E66" s="81">
        <f t="shared" si="75"/>
        <v>5276.7979999999998</v>
      </c>
      <c r="F66" s="81">
        <f t="shared" si="76"/>
        <v>52767.98</v>
      </c>
      <c r="G66" s="81">
        <f t="shared" si="77"/>
        <v>50473.72</v>
      </c>
      <c r="H66" s="81">
        <f t="shared" si="78"/>
        <v>22942.600000000002</v>
      </c>
      <c r="I66" s="81">
        <f t="shared" si="79"/>
        <v>22942.6</v>
      </c>
      <c r="J66" s="81">
        <v>229426</v>
      </c>
      <c r="R66" s="84" t="s">
        <v>52</v>
      </c>
      <c r="S66" s="82" t="s">
        <v>57</v>
      </c>
      <c r="T66" s="83" t="s">
        <v>207</v>
      </c>
      <c r="U66" s="88" t="s">
        <v>206</v>
      </c>
      <c r="V66" s="82" t="s">
        <v>203</v>
      </c>
      <c r="W66" s="82" t="s">
        <v>205</v>
      </c>
      <c r="X66" s="82" t="s">
        <v>204</v>
      </c>
      <c r="Y66" s="83" t="s">
        <v>210</v>
      </c>
      <c r="Z66" s="83" t="s">
        <v>140</v>
      </c>
      <c r="AB66" s="96">
        <f t="shared" si="71"/>
        <v>2.3000000000000007</v>
      </c>
      <c r="AC66" s="94">
        <f t="shared" si="73"/>
        <v>1.1500000000000004</v>
      </c>
      <c r="AD66" s="94">
        <f t="shared" si="72"/>
        <v>16.850000000000001</v>
      </c>
      <c r="AF66" s="83" t="s">
        <v>121</v>
      </c>
      <c r="AG66" s="83">
        <v>114896</v>
      </c>
      <c r="AH66" s="83">
        <f t="shared" ref="AH66:AH73" si="81">AG66-AH17</f>
        <v>32000</v>
      </c>
      <c r="AI66" s="83">
        <v>864</v>
      </c>
      <c r="AJ66" s="83">
        <f t="shared" si="80"/>
        <v>56592000</v>
      </c>
    </row>
    <row r="67" spans="1:36" x14ac:dyDescent="0.3">
      <c r="A67" s="81" t="s">
        <v>216</v>
      </c>
      <c r="B67" s="81">
        <v>99</v>
      </c>
      <c r="C67" s="90" t="s">
        <v>62</v>
      </c>
      <c r="D67" s="81">
        <f t="shared" si="74"/>
        <v>50473.72</v>
      </c>
      <c r="E67" s="81">
        <f t="shared" si="75"/>
        <v>5276.7979999999998</v>
      </c>
      <c r="F67" s="81">
        <f t="shared" si="76"/>
        <v>52767.98</v>
      </c>
      <c r="G67" s="81">
        <f t="shared" si="77"/>
        <v>50473.72</v>
      </c>
      <c r="H67" s="81">
        <f t="shared" si="78"/>
        <v>22942.600000000002</v>
      </c>
      <c r="I67" s="81">
        <f t="shared" si="79"/>
        <v>22942.6</v>
      </c>
      <c r="J67" s="81">
        <v>229426</v>
      </c>
      <c r="R67" s="83" t="s">
        <v>119</v>
      </c>
      <c r="S67" s="113">
        <v>85</v>
      </c>
      <c r="T67" s="94">
        <v>21.000000000000004</v>
      </c>
      <c r="U67" s="94">
        <v>2.34</v>
      </c>
      <c r="V67" s="83">
        <v>162800</v>
      </c>
      <c r="W67" s="83">
        <v>2234</v>
      </c>
      <c r="X67" s="83">
        <f>W67*U67-Y67</f>
        <v>4780.7599999999993</v>
      </c>
      <c r="Y67" s="93">
        <f>20%*W67</f>
        <v>446.8</v>
      </c>
      <c r="Z67" s="96">
        <f>(X67-Y67)/W67</f>
        <v>1.9399999999999995</v>
      </c>
      <c r="AB67" s="96">
        <f t="shared" si="71"/>
        <v>2.1000000000000014</v>
      </c>
      <c r="AC67" s="94">
        <f t="shared" si="73"/>
        <v>1.0500000000000007</v>
      </c>
      <c r="AD67" s="94">
        <f t="shared" si="72"/>
        <v>16.55</v>
      </c>
      <c r="AF67" s="83" t="s">
        <v>122</v>
      </c>
      <c r="AG67" s="83">
        <v>108570</v>
      </c>
      <c r="AH67" s="83">
        <f t="shared" si="81"/>
        <v>32000</v>
      </c>
      <c r="AI67" s="83">
        <v>825</v>
      </c>
      <c r="AJ67" s="83">
        <f t="shared" si="80"/>
        <v>54037500</v>
      </c>
    </row>
    <row r="68" spans="1:36" x14ac:dyDescent="0.3">
      <c r="A68" s="81" t="s">
        <v>217</v>
      </c>
      <c r="B68" s="81">
        <v>100</v>
      </c>
      <c r="C68" s="90" t="s">
        <v>62</v>
      </c>
      <c r="D68" s="81">
        <f t="shared" si="74"/>
        <v>50473.72</v>
      </c>
      <c r="E68" s="81">
        <f t="shared" si="75"/>
        <v>5276.7979999999998</v>
      </c>
      <c r="F68" s="81">
        <f t="shared" si="76"/>
        <v>52767.98</v>
      </c>
      <c r="G68" s="81">
        <f t="shared" si="77"/>
        <v>50473.72</v>
      </c>
      <c r="H68" s="81">
        <f t="shared" si="78"/>
        <v>22942.600000000002</v>
      </c>
      <c r="I68" s="81">
        <f t="shared" si="79"/>
        <v>22942.6</v>
      </c>
      <c r="J68" s="81">
        <v>229426</v>
      </c>
      <c r="R68" s="83" t="s">
        <v>120</v>
      </c>
      <c r="S68" s="113"/>
      <c r="T68" s="94">
        <v>19.400000000000002</v>
      </c>
      <c r="U68" s="94">
        <v>2.4300000000000002</v>
      </c>
      <c r="V68" s="83">
        <v>153480</v>
      </c>
      <c r="W68" s="83">
        <v>2039</v>
      </c>
      <c r="X68" s="83">
        <f t="shared" ref="X68:X76" si="82">W68*U68-Y68</f>
        <v>4546.97</v>
      </c>
      <c r="Y68" s="93">
        <f t="shared" ref="Y68:Y76" si="83">20%*W68</f>
        <v>407.8</v>
      </c>
      <c r="Z68" s="96">
        <f t="shared" ref="Z68:Z76" si="84">(X68-Y68)/W68</f>
        <v>2.0300000000000002</v>
      </c>
      <c r="AF68" s="83" t="s">
        <v>123</v>
      </c>
      <c r="AG68" s="83">
        <v>108570</v>
      </c>
      <c r="AH68" s="83">
        <f t="shared" si="81"/>
        <v>32000</v>
      </c>
      <c r="AI68" s="83">
        <v>876</v>
      </c>
      <c r="AJ68" s="83">
        <f t="shared" si="80"/>
        <v>57378000</v>
      </c>
    </row>
    <row r="69" spans="1:36" x14ac:dyDescent="0.3">
      <c r="A69" s="81" t="s">
        <v>218</v>
      </c>
      <c r="B69" s="81">
        <v>101</v>
      </c>
      <c r="C69" s="90" t="s">
        <v>62</v>
      </c>
      <c r="D69" s="81">
        <f t="shared" si="74"/>
        <v>50473.72</v>
      </c>
      <c r="E69" s="81">
        <f t="shared" si="75"/>
        <v>5276.7979999999998</v>
      </c>
      <c r="F69" s="81">
        <f t="shared" si="76"/>
        <v>52767.98</v>
      </c>
      <c r="G69" s="81">
        <f t="shared" si="77"/>
        <v>50473.72</v>
      </c>
      <c r="H69" s="81">
        <f t="shared" si="78"/>
        <v>22942.600000000002</v>
      </c>
      <c r="I69" s="81">
        <f t="shared" si="79"/>
        <v>22942.6</v>
      </c>
      <c r="J69" s="81">
        <v>229426</v>
      </c>
      <c r="R69" s="83" t="s">
        <v>121</v>
      </c>
      <c r="S69" s="113"/>
      <c r="T69" s="94">
        <v>20.2</v>
      </c>
      <c r="U69" s="94">
        <v>2.2799999999999998</v>
      </c>
      <c r="V69" s="83">
        <v>162800</v>
      </c>
      <c r="W69" s="83">
        <v>2149</v>
      </c>
      <c r="X69" s="83">
        <f t="shared" si="82"/>
        <v>4469.9199999999992</v>
      </c>
      <c r="Y69" s="93">
        <f t="shared" si="83"/>
        <v>429.8</v>
      </c>
      <c r="Z69" s="96">
        <f t="shared" si="84"/>
        <v>1.8799999999999994</v>
      </c>
      <c r="AF69" s="83" t="s">
        <v>50</v>
      </c>
      <c r="AG69" s="83">
        <v>75326</v>
      </c>
      <c r="AH69" s="83">
        <f t="shared" si="81"/>
        <v>32000</v>
      </c>
      <c r="AI69" s="83">
        <v>899</v>
      </c>
      <c r="AJ69" s="83">
        <f t="shared" si="80"/>
        <v>58884500</v>
      </c>
    </row>
    <row r="70" spans="1:36" x14ac:dyDescent="0.3">
      <c r="A70" s="81" t="s">
        <v>219</v>
      </c>
      <c r="B70" s="81">
        <v>102</v>
      </c>
      <c r="C70" s="90" t="s">
        <v>62</v>
      </c>
      <c r="D70" s="81">
        <f t="shared" si="74"/>
        <v>50473.72</v>
      </c>
      <c r="E70" s="81">
        <f t="shared" si="75"/>
        <v>5276.7979999999998</v>
      </c>
      <c r="F70" s="81">
        <f t="shared" si="76"/>
        <v>52767.98</v>
      </c>
      <c r="G70" s="81">
        <f t="shared" si="77"/>
        <v>50473.72</v>
      </c>
      <c r="H70" s="81">
        <f t="shared" si="78"/>
        <v>22942.600000000002</v>
      </c>
      <c r="I70" s="81">
        <f t="shared" si="79"/>
        <v>22942.6</v>
      </c>
      <c r="J70" s="81">
        <v>229426</v>
      </c>
      <c r="R70" s="83" t="s">
        <v>122</v>
      </c>
      <c r="S70" s="113"/>
      <c r="T70" s="94">
        <v>20.2</v>
      </c>
      <c r="U70" s="94">
        <v>2.2799999999999998</v>
      </c>
      <c r="V70" s="83">
        <v>153480</v>
      </c>
      <c r="W70" s="83">
        <v>2032</v>
      </c>
      <c r="X70" s="83">
        <f t="shared" si="82"/>
        <v>4226.5600000000004</v>
      </c>
      <c r="Y70" s="93">
        <f t="shared" si="83"/>
        <v>406.40000000000003</v>
      </c>
      <c r="Z70" s="96">
        <f t="shared" si="84"/>
        <v>1.8800000000000001</v>
      </c>
      <c r="AF70" s="83" t="s">
        <v>49</v>
      </c>
      <c r="AG70" s="83">
        <v>77459</v>
      </c>
      <c r="AH70" s="83">
        <f t="shared" si="81"/>
        <v>32000</v>
      </c>
      <c r="AI70" s="83">
        <v>835</v>
      </c>
      <c r="AJ70" s="83">
        <f t="shared" si="80"/>
        <v>54692500</v>
      </c>
    </row>
    <row r="71" spans="1:36" x14ac:dyDescent="0.3">
      <c r="A71" s="81" t="s">
        <v>220</v>
      </c>
      <c r="B71" s="81">
        <v>103</v>
      </c>
      <c r="C71" s="90" t="s">
        <v>62</v>
      </c>
      <c r="D71" s="81">
        <f t="shared" si="74"/>
        <v>50473.72</v>
      </c>
      <c r="E71" s="81">
        <f t="shared" si="75"/>
        <v>5276.7979999999998</v>
      </c>
      <c r="F71" s="81">
        <f t="shared" si="76"/>
        <v>52767.98</v>
      </c>
      <c r="G71" s="81">
        <f t="shared" si="77"/>
        <v>50473.72</v>
      </c>
      <c r="H71" s="81">
        <f t="shared" si="78"/>
        <v>22942.600000000002</v>
      </c>
      <c r="I71" s="81">
        <f t="shared" si="79"/>
        <v>22942.6</v>
      </c>
      <c r="J71" s="81">
        <v>229426</v>
      </c>
      <c r="R71" s="83" t="s">
        <v>123</v>
      </c>
      <c r="S71" s="113"/>
      <c r="T71" s="94">
        <v>21.400000000000002</v>
      </c>
      <c r="U71" s="94">
        <v>2.33</v>
      </c>
      <c r="V71" s="83">
        <v>153480</v>
      </c>
      <c r="W71" s="83">
        <v>2249</v>
      </c>
      <c r="X71" s="83">
        <f t="shared" si="82"/>
        <v>4790.37</v>
      </c>
      <c r="Y71" s="93">
        <f t="shared" si="83"/>
        <v>449.8</v>
      </c>
      <c r="Z71" s="96">
        <f t="shared" si="84"/>
        <v>1.93</v>
      </c>
      <c r="AF71" s="83" t="s">
        <v>48</v>
      </c>
      <c r="AG71" s="83">
        <v>73530</v>
      </c>
      <c r="AH71" s="83">
        <f t="shared" si="81"/>
        <v>32000</v>
      </c>
      <c r="AI71" s="83">
        <v>896</v>
      </c>
      <c r="AJ71" s="83">
        <f t="shared" si="80"/>
        <v>58688000</v>
      </c>
    </row>
    <row r="72" spans="1:36" x14ac:dyDescent="0.3">
      <c r="A72" s="81" t="s">
        <v>221</v>
      </c>
      <c r="B72" s="81">
        <v>104</v>
      </c>
      <c r="C72" s="81">
        <v>3</v>
      </c>
      <c r="D72" s="81">
        <f t="shared" si="74"/>
        <v>50473.72</v>
      </c>
      <c r="E72" s="81">
        <f t="shared" si="75"/>
        <v>5276.7979999999998</v>
      </c>
      <c r="F72" s="81">
        <f t="shared" si="76"/>
        <v>52767.98</v>
      </c>
      <c r="G72" s="81">
        <f t="shared" si="77"/>
        <v>50473.72</v>
      </c>
      <c r="H72" s="81">
        <f t="shared" si="78"/>
        <v>22942.600000000002</v>
      </c>
      <c r="I72" s="81">
        <f t="shared" si="79"/>
        <v>22942.6</v>
      </c>
      <c r="J72" s="81">
        <v>229426</v>
      </c>
      <c r="R72" s="83" t="s">
        <v>50</v>
      </c>
      <c r="S72" s="113"/>
      <c r="T72" s="94">
        <v>21.5</v>
      </c>
      <c r="U72" s="94">
        <v>2.33</v>
      </c>
      <c r="V72" s="83">
        <v>123230</v>
      </c>
      <c r="W72" s="83">
        <v>1437</v>
      </c>
      <c r="X72" s="83">
        <f t="shared" si="82"/>
        <v>3060.81</v>
      </c>
      <c r="Y72" s="93">
        <f t="shared" si="83"/>
        <v>287.40000000000003</v>
      </c>
      <c r="Z72" s="96">
        <f t="shared" si="84"/>
        <v>1.93</v>
      </c>
      <c r="AF72" s="83" t="s">
        <v>47</v>
      </c>
      <c r="AG72" s="83">
        <v>73530</v>
      </c>
      <c r="AH72" s="83">
        <f t="shared" si="81"/>
        <v>32000</v>
      </c>
      <c r="AI72" s="83">
        <v>848</v>
      </c>
      <c r="AJ72" s="83">
        <f t="shared" si="80"/>
        <v>55544000</v>
      </c>
    </row>
    <row r="73" spans="1:36" x14ac:dyDescent="0.3">
      <c r="A73" s="81" t="s">
        <v>156</v>
      </c>
      <c r="B73" s="81">
        <v>105</v>
      </c>
      <c r="C73" s="81">
        <v>3</v>
      </c>
      <c r="D73" s="81">
        <f t="shared" si="74"/>
        <v>50473.72</v>
      </c>
      <c r="E73" s="81">
        <f t="shared" si="75"/>
        <v>5276.7979999999998</v>
      </c>
      <c r="F73" s="81">
        <f t="shared" si="76"/>
        <v>52767.98</v>
      </c>
      <c r="G73" s="81">
        <f t="shared" si="77"/>
        <v>50473.72</v>
      </c>
      <c r="H73" s="81">
        <f t="shared" si="78"/>
        <v>22942.600000000002</v>
      </c>
      <c r="I73" s="81">
        <f t="shared" si="79"/>
        <v>22942.6</v>
      </c>
      <c r="J73" s="81">
        <v>229426</v>
      </c>
      <c r="R73" s="83" t="s">
        <v>49</v>
      </c>
      <c r="S73" s="113"/>
      <c r="T73" s="94">
        <v>19.899999999999999</v>
      </c>
      <c r="U73" s="94">
        <v>2.4</v>
      </c>
      <c r="V73" s="83">
        <v>125363</v>
      </c>
      <c r="W73" s="83">
        <v>1496</v>
      </c>
      <c r="X73" s="83">
        <f t="shared" si="82"/>
        <v>3291.2000000000003</v>
      </c>
      <c r="Y73" s="93">
        <f t="shared" si="83"/>
        <v>299.2</v>
      </c>
      <c r="Z73" s="96">
        <f t="shared" si="84"/>
        <v>2.0000000000000004</v>
      </c>
      <c r="AF73" s="83" t="s">
        <v>46</v>
      </c>
      <c r="AG73" s="83">
        <v>77459</v>
      </c>
      <c r="AH73" s="83">
        <f t="shared" si="81"/>
        <v>32000</v>
      </c>
      <c r="AI73" s="83">
        <v>835</v>
      </c>
      <c r="AJ73" s="83">
        <f>AI73*65500</f>
        <v>54692500</v>
      </c>
    </row>
    <row r="74" spans="1:36" x14ac:dyDescent="0.3">
      <c r="A74" s="81" t="s">
        <v>222</v>
      </c>
      <c r="B74" s="81">
        <v>106</v>
      </c>
      <c r="C74" s="81">
        <v>3</v>
      </c>
      <c r="D74" s="81">
        <f t="shared" si="74"/>
        <v>135597</v>
      </c>
      <c r="E74" s="81">
        <f t="shared" si="75"/>
        <v>14176.050000000001</v>
      </c>
      <c r="F74" s="81">
        <f t="shared" si="76"/>
        <v>141760.5</v>
      </c>
      <c r="G74" s="81">
        <f t="shared" si="77"/>
        <v>135597</v>
      </c>
      <c r="H74" s="81">
        <f t="shared" si="78"/>
        <v>61635</v>
      </c>
      <c r="I74" s="81">
        <f t="shared" si="79"/>
        <v>61635</v>
      </c>
      <c r="J74" s="81">
        <v>616350</v>
      </c>
      <c r="R74" s="83" t="s">
        <v>48</v>
      </c>
      <c r="S74" s="113"/>
      <c r="T74" s="94">
        <v>21.000000000000004</v>
      </c>
      <c r="U74" s="94">
        <v>2.34</v>
      </c>
      <c r="V74" s="83">
        <v>118440</v>
      </c>
      <c r="W74" s="83">
        <v>1450</v>
      </c>
      <c r="X74" s="83">
        <f t="shared" si="82"/>
        <v>3103</v>
      </c>
      <c r="Y74" s="93">
        <f t="shared" si="83"/>
        <v>290</v>
      </c>
      <c r="Z74" s="96">
        <f t="shared" si="84"/>
        <v>1.94</v>
      </c>
      <c r="AF74" s="105" t="s">
        <v>2</v>
      </c>
      <c r="AG74" s="105"/>
      <c r="AH74" s="83">
        <f>SUM(AH64:AH73)</f>
        <v>320000</v>
      </c>
      <c r="AI74" s="83">
        <f>SUM(AI64:AI73)</f>
        <v>8580</v>
      </c>
      <c r="AJ74" s="83">
        <f>SUM(AJ64:AJ73)</f>
        <v>561990000</v>
      </c>
    </row>
    <row r="75" spans="1:36" x14ac:dyDescent="0.3">
      <c r="A75" s="81" t="s">
        <v>223</v>
      </c>
      <c r="B75" s="81">
        <v>107</v>
      </c>
      <c r="C75" s="81">
        <v>3</v>
      </c>
      <c r="D75" s="81">
        <f t="shared" si="74"/>
        <v>135597</v>
      </c>
      <c r="E75" s="81">
        <f t="shared" si="75"/>
        <v>14176.050000000001</v>
      </c>
      <c r="F75" s="81">
        <f t="shared" si="76"/>
        <v>141760.5</v>
      </c>
      <c r="G75" s="81">
        <f t="shared" si="77"/>
        <v>135597</v>
      </c>
      <c r="H75" s="81">
        <f t="shared" si="78"/>
        <v>61635</v>
      </c>
      <c r="I75" s="81">
        <f t="shared" si="79"/>
        <v>61635</v>
      </c>
      <c r="J75" s="81">
        <v>616350</v>
      </c>
      <c r="R75" s="83" t="s">
        <v>47</v>
      </c>
      <c r="S75" s="113"/>
      <c r="T75" s="94">
        <v>20.300000000000004</v>
      </c>
      <c r="U75" s="94">
        <v>2.39</v>
      </c>
      <c r="V75" s="83">
        <v>118440</v>
      </c>
      <c r="W75" s="83">
        <v>1402</v>
      </c>
      <c r="X75" s="83">
        <f t="shared" si="82"/>
        <v>3070.38</v>
      </c>
      <c r="Y75" s="93">
        <f t="shared" si="83"/>
        <v>280.40000000000003</v>
      </c>
      <c r="Z75" s="96">
        <f t="shared" si="84"/>
        <v>1.99</v>
      </c>
    </row>
    <row r="76" spans="1:36" x14ac:dyDescent="0.3">
      <c r="A76" s="81" t="s">
        <v>224</v>
      </c>
      <c r="B76" s="81">
        <v>108</v>
      </c>
      <c r="C76" s="81">
        <v>3</v>
      </c>
      <c r="D76" s="81">
        <f t="shared" si="74"/>
        <v>135597</v>
      </c>
      <c r="E76" s="81">
        <f t="shared" si="75"/>
        <v>14176.050000000001</v>
      </c>
      <c r="F76" s="81">
        <f t="shared" si="76"/>
        <v>141760.5</v>
      </c>
      <c r="G76" s="81">
        <f t="shared" si="77"/>
        <v>135597</v>
      </c>
      <c r="H76" s="81">
        <f t="shared" si="78"/>
        <v>61635</v>
      </c>
      <c r="I76" s="81">
        <f t="shared" si="79"/>
        <v>61635</v>
      </c>
      <c r="J76" s="81">
        <v>616350</v>
      </c>
      <c r="R76" s="83" t="s">
        <v>46</v>
      </c>
      <c r="S76" s="113"/>
      <c r="T76" s="94">
        <v>19.700000000000003</v>
      </c>
      <c r="U76" s="94">
        <v>2.42</v>
      </c>
      <c r="V76" s="83">
        <v>125363</v>
      </c>
      <c r="W76" s="83">
        <v>1481</v>
      </c>
      <c r="X76" s="83">
        <f t="shared" si="82"/>
        <v>3287.82</v>
      </c>
      <c r="Y76" s="93">
        <f t="shared" si="83"/>
        <v>296.2</v>
      </c>
      <c r="Z76" s="96">
        <f t="shared" si="84"/>
        <v>2.02</v>
      </c>
      <c r="AF76" s="105" t="s">
        <v>250</v>
      </c>
      <c r="AG76" s="105"/>
      <c r="AH76" s="105"/>
      <c r="AI76" s="105"/>
      <c r="AJ76" s="105"/>
    </row>
    <row r="77" spans="1:36" x14ac:dyDescent="0.3">
      <c r="A77" s="81" t="s">
        <v>225</v>
      </c>
      <c r="B77" s="81">
        <v>109</v>
      </c>
      <c r="C77" s="81">
        <v>3</v>
      </c>
      <c r="D77" s="81">
        <f t="shared" si="74"/>
        <v>135597</v>
      </c>
      <c r="E77" s="81">
        <f t="shared" si="75"/>
        <v>14176.050000000001</v>
      </c>
      <c r="F77" s="81">
        <f t="shared" si="76"/>
        <v>141760.5</v>
      </c>
      <c r="G77" s="81">
        <f t="shared" si="77"/>
        <v>135597</v>
      </c>
      <c r="H77" s="81">
        <f t="shared" si="78"/>
        <v>61635</v>
      </c>
      <c r="I77" s="81">
        <f t="shared" si="79"/>
        <v>61635</v>
      </c>
      <c r="J77" s="81">
        <v>616350</v>
      </c>
      <c r="AG77" s="83" t="s">
        <v>133</v>
      </c>
      <c r="AH77" s="83" t="s">
        <v>244</v>
      </c>
      <c r="AI77" s="83" t="s">
        <v>245</v>
      </c>
      <c r="AJ77" s="83" t="s">
        <v>251</v>
      </c>
    </row>
    <row r="78" spans="1:36" x14ac:dyDescent="0.3">
      <c r="A78" s="81" t="s">
        <v>226</v>
      </c>
      <c r="B78" s="81">
        <v>110</v>
      </c>
      <c r="C78" s="81">
        <v>3</v>
      </c>
      <c r="D78" s="81">
        <f t="shared" si="74"/>
        <v>135597</v>
      </c>
      <c r="E78" s="81">
        <f t="shared" si="75"/>
        <v>14176.050000000001</v>
      </c>
      <c r="F78" s="81">
        <f t="shared" si="76"/>
        <v>141760.5</v>
      </c>
      <c r="G78" s="81">
        <f t="shared" si="77"/>
        <v>135597</v>
      </c>
      <c r="H78" s="81">
        <f t="shared" si="78"/>
        <v>61635</v>
      </c>
      <c r="I78" s="81">
        <f t="shared" si="79"/>
        <v>61635</v>
      </c>
      <c r="J78" s="81">
        <v>616350</v>
      </c>
      <c r="AF78" s="83" t="s">
        <v>119</v>
      </c>
      <c r="AG78" s="83">
        <v>82896</v>
      </c>
      <c r="AH78" s="83">
        <f>AG78</f>
        <v>82896</v>
      </c>
      <c r="AI78" s="83">
        <v>2512</v>
      </c>
      <c r="AJ78" s="83">
        <f>AI78*67500</f>
        <v>169560000</v>
      </c>
    </row>
    <row r="79" spans="1:36" ht="15.6" x14ac:dyDescent="0.3">
      <c r="A79" s="81" t="s">
        <v>227</v>
      </c>
      <c r="B79" s="81">
        <v>111</v>
      </c>
      <c r="C79" s="81">
        <v>3</v>
      </c>
      <c r="D79" s="81">
        <f t="shared" si="74"/>
        <v>135597</v>
      </c>
      <c r="E79" s="81">
        <f t="shared" si="75"/>
        <v>14176.050000000001</v>
      </c>
      <c r="F79" s="81">
        <f t="shared" si="76"/>
        <v>141760.5</v>
      </c>
      <c r="G79" s="81">
        <f t="shared" si="77"/>
        <v>135597</v>
      </c>
      <c r="H79" s="81">
        <f t="shared" si="78"/>
        <v>61635</v>
      </c>
      <c r="I79" s="81">
        <f t="shared" si="79"/>
        <v>61635</v>
      </c>
      <c r="J79" s="81">
        <v>616350</v>
      </c>
      <c r="R79" s="84" t="s">
        <v>52</v>
      </c>
      <c r="S79" s="82" t="s">
        <v>57</v>
      </c>
      <c r="T79" s="83" t="s">
        <v>207</v>
      </c>
      <c r="U79" s="88" t="s">
        <v>206</v>
      </c>
      <c r="V79" s="82" t="s">
        <v>203</v>
      </c>
      <c r="W79" s="82" t="s">
        <v>205</v>
      </c>
      <c r="X79" s="82" t="s">
        <v>204</v>
      </c>
      <c r="Y79" s="83" t="s">
        <v>210</v>
      </c>
      <c r="Z79" s="83" t="s">
        <v>140</v>
      </c>
      <c r="AF79" s="83" t="s">
        <v>120</v>
      </c>
      <c r="AG79" s="83">
        <v>76570</v>
      </c>
      <c r="AH79" s="83">
        <f t="shared" ref="AH79:AH87" si="85">AG79</f>
        <v>76570</v>
      </c>
      <c r="AI79" s="83">
        <v>2244</v>
      </c>
      <c r="AJ79" s="83">
        <f t="shared" ref="AJ79:AJ87" si="86">AI79*67500</f>
        <v>151470000</v>
      </c>
    </row>
    <row r="80" spans="1:36" x14ac:dyDescent="0.3">
      <c r="A80" s="81" t="s">
        <v>228</v>
      </c>
      <c r="B80" s="81">
        <v>112</v>
      </c>
      <c r="C80" s="81">
        <v>3</v>
      </c>
      <c r="D80" s="81">
        <f t="shared" si="74"/>
        <v>135597</v>
      </c>
      <c r="E80" s="81">
        <f t="shared" si="75"/>
        <v>14176.050000000001</v>
      </c>
      <c r="F80" s="81">
        <f t="shared" si="76"/>
        <v>141760.5</v>
      </c>
      <c r="G80" s="81">
        <f t="shared" si="77"/>
        <v>135597</v>
      </c>
      <c r="H80" s="81">
        <f t="shared" si="78"/>
        <v>61635</v>
      </c>
      <c r="I80" s="81">
        <f t="shared" si="79"/>
        <v>61635</v>
      </c>
      <c r="J80" s="81">
        <v>616350</v>
      </c>
      <c r="R80" s="83" t="s">
        <v>119</v>
      </c>
      <c r="S80" s="113">
        <v>95</v>
      </c>
      <c r="T80" s="94">
        <v>24.100000000000005</v>
      </c>
      <c r="U80" s="94">
        <v>2.21</v>
      </c>
      <c r="V80" s="83">
        <v>162800</v>
      </c>
      <c r="W80" s="83">
        <v>2564</v>
      </c>
      <c r="X80" s="83">
        <f>W80*U80-Y80</f>
        <v>5153.6399999999994</v>
      </c>
      <c r="Y80" s="83">
        <f>W80*20%</f>
        <v>512.80000000000007</v>
      </c>
      <c r="Z80" s="96">
        <f>(X80-Y80)/W80</f>
        <v>1.8099999999999996</v>
      </c>
      <c r="AF80" s="83" t="s">
        <v>121</v>
      </c>
      <c r="AG80" s="83">
        <v>82896</v>
      </c>
      <c r="AH80" s="83">
        <f t="shared" si="85"/>
        <v>82896</v>
      </c>
      <c r="AI80" s="83">
        <v>2520</v>
      </c>
      <c r="AJ80" s="83">
        <f t="shared" si="86"/>
        <v>170100000</v>
      </c>
    </row>
    <row r="81" spans="1:36" x14ac:dyDescent="0.3">
      <c r="A81" s="81" t="s">
        <v>229</v>
      </c>
      <c r="B81" s="81">
        <v>113</v>
      </c>
      <c r="C81" s="81">
        <v>3</v>
      </c>
      <c r="D81" s="81">
        <f t="shared" si="74"/>
        <v>135597</v>
      </c>
      <c r="E81" s="81">
        <f t="shared" si="75"/>
        <v>14176.050000000001</v>
      </c>
      <c r="F81" s="81">
        <f t="shared" si="76"/>
        <v>141760.5</v>
      </c>
      <c r="G81" s="81">
        <f t="shared" si="77"/>
        <v>135597</v>
      </c>
      <c r="H81" s="81">
        <f t="shared" si="78"/>
        <v>61635</v>
      </c>
      <c r="I81" s="81">
        <f t="shared" si="79"/>
        <v>61635</v>
      </c>
      <c r="J81" s="81">
        <v>616350</v>
      </c>
      <c r="R81" s="83" t="s">
        <v>120</v>
      </c>
      <c r="S81" s="113"/>
      <c r="T81" s="94">
        <v>22.700000000000003</v>
      </c>
      <c r="U81" s="94">
        <v>2.2599999999999998</v>
      </c>
      <c r="V81" s="83">
        <v>153480</v>
      </c>
      <c r="W81" s="83">
        <v>2386</v>
      </c>
      <c r="X81" s="83">
        <f t="shared" ref="X81:X89" si="87">W81*U81-Y81</f>
        <v>4915.16</v>
      </c>
      <c r="Y81" s="83">
        <f t="shared" ref="Y81:Y89" si="88">W81*20%</f>
        <v>477.20000000000005</v>
      </c>
      <c r="Z81" s="96">
        <f t="shared" ref="Z81:Z89" si="89">(X81-Y81)/W81</f>
        <v>1.86</v>
      </c>
      <c r="AF81" s="83" t="s">
        <v>122</v>
      </c>
      <c r="AG81" s="83">
        <v>76570</v>
      </c>
      <c r="AH81" s="83">
        <f t="shared" si="85"/>
        <v>76570</v>
      </c>
      <c r="AI81" s="83">
        <v>2190</v>
      </c>
      <c r="AJ81" s="83">
        <f t="shared" si="86"/>
        <v>147825000</v>
      </c>
    </row>
    <row r="82" spans="1:36" x14ac:dyDescent="0.3">
      <c r="A82" s="81" t="s">
        <v>230</v>
      </c>
      <c r="B82" s="81">
        <v>114</v>
      </c>
      <c r="C82" s="81">
        <v>3</v>
      </c>
      <c r="D82" s="81">
        <f t="shared" si="74"/>
        <v>135597</v>
      </c>
      <c r="E82" s="81">
        <f t="shared" si="75"/>
        <v>14176.050000000001</v>
      </c>
      <c r="F82" s="81">
        <f t="shared" si="76"/>
        <v>141760.5</v>
      </c>
      <c r="G82" s="81">
        <f t="shared" si="77"/>
        <v>135597</v>
      </c>
      <c r="H82" s="81">
        <f t="shared" si="78"/>
        <v>61635</v>
      </c>
      <c r="I82" s="81">
        <f t="shared" si="79"/>
        <v>61635</v>
      </c>
      <c r="J82" s="81">
        <v>616350</v>
      </c>
      <c r="R82" s="83" t="s">
        <v>121</v>
      </c>
      <c r="S82" s="113"/>
      <c r="T82" s="94">
        <v>23.6</v>
      </c>
      <c r="U82" s="94">
        <v>2.2200000000000002</v>
      </c>
      <c r="V82" s="83">
        <v>162800</v>
      </c>
      <c r="W82" s="83">
        <v>2511</v>
      </c>
      <c r="X82" s="83">
        <f t="shared" si="87"/>
        <v>5072.22</v>
      </c>
      <c r="Y82" s="83">
        <f t="shared" si="88"/>
        <v>502.20000000000005</v>
      </c>
      <c r="Z82" s="96">
        <f t="shared" si="89"/>
        <v>1.8200000000000003</v>
      </c>
      <c r="AF82" s="83" t="s">
        <v>123</v>
      </c>
      <c r="AG82" s="83">
        <v>76570</v>
      </c>
      <c r="AH82" s="83">
        <f t="shared" si="85"/>
        <v>76570</v>
      </c>
      <c r="AI82" s="83">
        <v>2328</v>
      </c>
      <c r="AJ82" s="83">
        <f t="shared" si="86"/>
        <v>157140000</v>
      </c>
    </row>
    <row r="83" spans="1:36" x14ac:dyDescent="0.3">
      <c r="A83" s="81" t="s">
        <v>142</v>
      </c>
      <c r="B83" s="81">
        <v>115</v>
      </c>
      <c r="C83" s="81">
        <v>3</v>
      </c>
      <c r="D83" s="81">
        <f t="shared" si="74"/>
        <v>135597</v>
      </c>
      <c r="E83" s="81">
        <f t="shared" si="75"/>
        <v>14176.050000000001</v>
      </c>
      <c r="F83" s="81">
        <f t="shared" si="76"/>
        <v>141760.5</v>
      </c>
      <c r="G83" s="81">
        <f t="shared" si="77"/>
        <v>135597</v>
      </c>
      <c r="H83" s="81">
        <f t="shared" si="78"/>
        <v>61635</v>
      </c>
      <c r="I83" s="81">
        <f t="shared" si="79"/>
        <v>61635</v>
      </c>
      <c r="J83" s="81">
        <v>616350</v>
      </c>
      <c r="R83" s="83" t="s">
        <v>122</v>
      </c>
      <c r="S83" s="113"/>
      <c r="T83" s="94">
        <v>23</v>
      </c>
      <c r="U83" s="94">
        <v>2.2400000000000002</v>
      </c>
      <c r="V83" s="83">
        <v>153480</v>
      </c>
      <c r="W83" s="83">
        <v>2313</v>
      </c>
      <c r="X83" s="83">
        <f t="shared" si="87"/>
        <v>4718.5200000000004</v>
      </c>
      <c r="Y83" s="83">
        <f t="shared" si="88"/>
        <v>462.6</v>
      </c>
      <c r="Z83" s="96">
        <f t="shared" si="89"/>
        <v>1.84</v>
      </c>
      <c r="AF83" s="83" t="s">
        <v>50</v>
      </c>
      <c r="AG83" s="83">
        <v>43326</v>
      </c>
      <c r="AH83" s="83">
        <f t="shared" si="85"/>
        <v>43326</v>
      </c>
      <c r="AI83" s="83">
        <v>1360</v>
      </c>
      <c r="AJ83" s="83">
        <f t="shared" si="86"/>
        <v>91800000</v>
      </c>
    </row>
    <row r="84" spans="1:36" x14ac:dyDescent="0.3">
      <c r="A84" s="81" t="s">
        <v>231</v>
      </c>
      <c r="B84" s="81">
        <v>116</v>
      </c>
      <c r="C84" s="81">
        <v>3</v>
      </c>
      <c r="D84" s="81">
        <f t="shared" si="74"/>
        <v>135597</v>
      </c>
      <c r="E84" s="81">
        <f t="shared" si="75"/>
        <v>14176.050000000001</v>
      </c>
      <c r="F84" s="81">
        <f t="shared" si="76"/>
        <v>141760.5</v>
      </c>
      <c r="G84" s="81">
        <f t="shared" si="77"/>
        <v>135597</v>
      </c>
      <c r="H84" s="81">
        <f t="shared" si="78"/>
        <v>61635</v>
      </c>
      <c r="I84" s="81">
        <f t="shared" si="79"/>
        <v>61635</v>
      </c>
      <c r="J84" s="81">
        <v>616350</v>
      </c>
      <c r="R84" s="83" t="s">
        <v>123</v>
      </c>
      <c r="S84" s="113"/>
      <c r="T84" s="94">
        <v>24.400000000000002</v>
      </c>
      <c r="U84" s="94">
        <v>2.21</v>
      </c>
      <c r="V84" s="83">
        <v>153480</v>
      </c>
      <c r="W84" s="83">
        <v>2564</v>
      </c>
      <c r="X84" s="83">
        <f t="shared" si="87"/>
        <v>5153.6399999999994</v>
      </c>
      <c r="Y84" s="83">
        <f t="shared" si="88"/>
        <v>512.80000000000007</v>
      </c>
      <c r="Z84" s="96">
        <f t="shared" si="89"/>
        <v>1.8099999999999996</v>
      </c>
      <c r="AF84" s="83" t="s">
        <v>49</v>
      </c>
      <c r="AG84" s="83">
        <v>45459</v>
      </c>
      <c r="AH84" s="83">
        <f t="shared" si="85"/>
        <v>45459</v>
      </c>
      <c r="AI84" s="83">
        <v>1327</v>
      </c>
      <c r="AJ84" s="83">
        <f t="shared" si="86"/>
        <v>89572500</v>
      </c>
    </row>
    <row r="85" spans="1:36" x14ac:dyDescent="0.3">
      <c r="A85" s="81" t="s">
        <v>232</v>
      </c>
      <c r="B85" s="81">
        <v>117</v>
      </c>
      <c r="C85" s="81">
        <v>3</v>
      </c>
      <c r="D85" s="81">
        <f t="shared" si="74"/>
        <v>135597</v>
      </c>
      <c r="E85" s="81">
        <f t="shared" si="75"/>
        <v>14176.050000000001</v>
      </c>
      <c r="F85" s="81">
        <f t="shared" si="76"/>
        <v>141760.5</v>
      </c>
      <c r="G85" s="81">
        <f t="shared" si="77"/>
        <v>135597</v>
      </c>
      <c r="H85" s="81">
        <f t="shared" si="78"/>
        <v>61635</v>
      </c>
      <c r="I85" s="81">
        <f t="shared" si="79"/>
        <v>61635</v>
      </c>
      <c r="J85" s="81">
        <v>616350</v>
      </c>
      <c r="R85" s="83" t="s">
        <v>50</v>
      </c>
      <c r="S85" s="113"/>
      <c r="T85" s="94">
        <v>24.8</v>
      </c>
      <c r="U85" s="94">
        <v>2.2000000000000002</v>
      </c>
      <c r="V85" s="83">
        <v>123230</v>
      </c>
      <c r="W85" s="83">
        <v>1700</v>
      </c>
      <c r="X85" s="83">
        <f t="shared" si="87"/>
        <v>3400.0000000000005</v>
      </c>
      <c r="Y85" s="83">
        <f t="shared" si="88"/>
        <v>340</v>
      </c>
      <c r="Z85" s="96">
        <f t="shared" si="89"/>
        <v>1.8000000000000003</v>
      </c>
      <c r="AF85" s="83" t="s">
        <v>48</v>
      </c>
      <c r="AG85" s="83">
        <v>41530</v>
      </c>
      <c r="AH85" s="83">
        <f t="shared" si="85"/>
        <v>41530</v>
      </c>
      <c r="AI85" s="83">
        <v>1308</v>
      </c>
      <c r="AJ85" s="83">
        <f t="shared" si="86"/>
        <v>88290000</v>
      </c>
    </row>
    <row r="86" spans="1:36" x14ac:dyDescent="0.3">
      <c r="A86" s="81" t="s">
        <v>233</v>
      </c>
      <c r="B86" s="81">
        <v>118</v>
      </c>
      <c r="C86" s="81">
        <v>3</v>
      </c>
      <c r="D86" s="81">
        <f t="shared" si="74"/>
        <v>135597</v>
      </c>
      <c r="E86" s="81">
        <f t="shared" si="75"/>
        <v>14176.050000000001</v>
      </c>
      <c r="F86" s="81">
        <f t="shared" si="76"/>
        <v>141760.5</v>
      </c>
      <c r="G86" s="81">
        <f t="shared" si="77"/>
        <v>135597</v>
      </c>
      <c r="H86" s="81">
        <f t="shared" si="78"/>
        <v>61635</v>
      </c>
      <c r="I86" s="81">
        <f t="shared" si="79"/>
        <v>61635</v>
      </c>
      <c r="J86" s="81">
        <v>616350</v>
      </c>
      <c r="R86" s="83" t="s">
        <v>49</v>
      </c>
      <c r="S86" s="113"/>
      <c r="T86" s="94">
        <v>23</v>
      </c>
      <c r="U86" s="94">
        <v>2.2400000000000002</v>
      </c>
      <c r="V86" s="83">
        <v>125363</v>
      </c>
      <c r="W86" s="83">
        <v>1729</v>
      </c>
      <c r="X86" s="83">
        <f t="shared" si="87"/>
        <v>3527.1600000000003</v>
      </c>
      <c r="Y86" s="83">
        <f t="shared" si="88"/>
        <v>345.8</v>
      </c>
      <c r="Z86" s="96">
        <f t="shared" si="89"/>
        <v>1.84</v>
      </c>
      <c r="AF86" s="83" t="s">
        <v>47</v>
      </c>
      <c r="AG86" s="83">
        <v>41530</v>
      </c>
      <c r="AH86" s="83">
        <f t="shared" si="85"/>
        <v>41530</v>
      </c>
      <c r="AI86" s="83">
        <v>1229</v>
      </c>
      <c r="AJ86" s="83">
        <f t="shared" si="86"/>
        <v>82957500</v>
      </c>
    </row>
    <row r="87" spans="1:36" x14ac:dyDescent="0.3">
      <c r="A87" s="81" t="s">
        <v>234</v>
      </c>
      <c r="B87" s="81">
        <v>119</v>
      </c>
      <c r="C87" s="81">
        <v>3</v>
      </c>
      <c r="D87" s="81">
        <f t="shared" si="74"/>
        <v>135597</v>
      </c>
      <c r="E87" s="81">
        <f t="shared" si="75"/>
        <v>14176.050000000001</v>
      </c>
      <c r="F87" s="81">
        <f t="shared" si="76"/>
        <v>141760.5</v>
      </c>
      <c r="G87" s="81">
        <f t="shared" si="77"/>
        <v>135597</v>
      </c>
      <c r="H87" s="81">
        <f t="shared" si="78"/>
        <v>61635</v>
      </c>
      <c r="I87" s="81">
        <f t="shared" si="79"/>
        <v>61635</v>
      </c>
      <c r="J87" s="81">
        <v>616350</v>
      </c>
      <c r="R87" s="83" t="s">
        <v>48</v>
      </c>
      <c r="S87" s="113"/>
      <c r="T87" s="94">
        <v>24.500000000000004</v>
      </c>
      <c r="U87" s="94">
        <v>2.21</v>
      </c>
      <c r="V87" s="83">
        <v>118440</v>
      </c>
      <c r="W87" s="83">
        <v>1692</v>
      </c>
      <c r="X87" s="83">
        <f t="shared" si="87"/>
        <v>3400.92</v>
      </c>
      <c r="Y87" s="83">
        <f t="shared" si="88"/>
        <v>338.40000000000003</v>
      </c>
      <c r="Z87" s="96">
        <f t="shared" si="89"/>
        <v>1.81</v>
      </c>
      <c r="AF87" s="83" t="s">
        <v>46</v>
      </c>
      <c r="AG87" s="83">
        <v>45459</v>
      </c>
      <c r="AH87" s="83">
        <f t="shared" si="85"/>
        <v>45459</v>
      </c>
      <c r="AI87" s="83">
        <v>1332</v>
      </c>
      <c r="AJ87" s="83">
        <f t="shared" si="86"/>
        <v>89910000</v>
      </c>
    </row>
    <row r="88" spans="1:36" x14ac:dyDescent="0.3">
      <c r="A88" s="81" t="s">
        <v>235</v>
      </c>
      <c r="B88" s="118" t="s">
        <v>64</v>
      </c>
      <c r="C88" s="118"/>
      <c r="D88" s="118"/>
      <c r="E88" s="118"/>
      <c r="F88" s="118"/>
      <c r="G88" s="118"/>
      <c r="H88" s="118"/>
      <c r="I88" s="118"/>
      <c r="J88" s="118"/>
      <c r="R88" s="83" t="s">
        <v>47</v>
      </c>
      <c r="S88" s="113"/>
      <c r="T88" s="94">
        <v>23.400000000000006</v>
      </c>
      <c r="U88" s="94">
        <v>2.23</v>
      </c>
      <c r="V88" s="83">
        <v>118440</v>
      </c>
      <c r="W88" s="83">
        <v>1616</v>
      </c>
      <c r="X88" s="83">
        <f t="shared" si="87"/>
        <v>3280.4799999999996</v>
      </c>
      <c r="Y88" s="83">
        <f t="shared" si="88"/>
        <v>323.20000000000005</v>
      </c>
      <c r="Z88" s="96">
        <f t="shared" si="89"/>
        <v>1.8299999999999998</v>
      </c>
      <c r="AF88" s="105" t="s">
        <v>2</v>
      </c>
      <c r="AG88" s="105"/>
      <c r="AH88" s="83">
        <f>SUM(AH78:AH87)</f>
        <v>612806</v>
      </c>
      <c r="AI88" s="83">
        <f>SUM(AI78:AI87)</f>
        <v>18350</v>
      </c>
      <c r="AJ88" s="83">
        <f>SUM(AJ78:AJ87)</f>
        <v>1238625000</v>
      </c>
    </row>
    <row r="89" spans="1:36" x14ac:dyDescent="0.3">
      <c r="A89" s="81"/>
      <c r="B89" s="81"/>
      <c r="C89" s="81"/>
      <c r="E89" s="81"/>
      <c r="F89" s="81"/>
      <c r="G89" s="81"/>
      <c r="H89" s="81"/>
      <c r="I89" s="81"/>
      <c r="J89" s="81"/>
      <c r="R89" s="83" t="s">
        <v>46</v>
      </c>
      <c r="S89" s="113"/>
      <c r="T89" s="94">
        <v>22.900000000000002</v>
      </c>
      <c r="U89" s="94">
        <v>2.2400000000000002</v>
      </c>
      <c r="V89" s="83">
        <v>125363</v>
      </c>
      <c r="W89" s="83">
        <v>1722</v>
      </c>
      <c r="X89" s="83">
        <f t="shared" si="87"/>
        <v>3512.88</v>
      </c>
      <c r="Y89" s="83">
        <f t="shared" si="88"/>
        <v>344.40000000000003</v>
      </c>
      <c r="Z89" s="96">
        <f t="shared" si="89"/>
        <v>1.84</v>
      </c>
    </row>
    <row r="90" spans="1:36" x14ac:dyDescent="0.3">
      <c r="A90" s="81"/>
      <c r="B90" s="81"/>
      <c r="C90" s="81"/>
      <c r="E90" s="81"/>
      <c r="F90" s="81"/>
      <c r="G90" s="81"/>
      <c r="H90" s="81"/>
      <c r="I90" s="81"/>
      <c r="J90" s="81"/>
    </row>
    <row r="91" spans="1:36" x14ac:dyDescent="0.3">
      <c r="A91" s="81"/>
      <c r="B91" s="81"/>
      <c r="C91" s="81"/>
      <c r="E91" s="81"/>
      <c r="F91" s="81"/>
      <c r="G91" s="81"/>
      <c r="H91" s="81"/>
      <c r="I91" s="81"/>
      <c r="J91" s="81"/>
    </row>
    <row r="92" spans="1:36" x14ac:dyDescent="0.3">
      <c r="A92" s="81"/>
      <c r="B92" s="81"/>
      <c r="C92" s="81"/>
      <c r="E92" s="81"/>
      <c r="F92" s="81"/>
      <c r="G92" s="81"/>
      <c r="H92" s="81"/>
      <c r="I92" s="81"/>
      <c r="J92" s="81"/>
    </row>
    <row r="93" spans="1:36" x14ac:dyDescent="0.3">
      <c r="A93" s="81"/>
      <c r="B93" s="81"/>
      <c r="C93" s="81"/>
      <c r="E93" s="81"/>
      <c r="F93" s="81"/>
      <c r="G93" s="81"/>
      <c r="H93" s="81"/>
      <c r="I93" s="81"/>
      <c r="J93" s="81"/>
    </row>
    <row r="94" spans="1:36" x14ac:dyDescent="0.3">
      <c r="A94" s="81"/>
      <c r="B94" s="81"/>
      <c r="C94" s="81"/>
      <c r="E94" s="81"/>
      <c r="F94" s="81"/>
      <c r="G94" s="81"/>
      <c r="H94" s="81"/>
      <c r="I94" s="81"/>
      <c r="J94" s="81"/>
    </row>
    <row r="95" spans="1:36" x14ac:dyDescent="0.3">
      <c r="A95" s="81"/>
      <c r="B95" s="81"/>
      <c r="C95" s="81"/>
      <c r="E95" s="81"/>
      <c r="F95" s="81"/>
      <c r="G95" s="81"/>
      <c r="H95" s="81"/>
      <c r="I95" s="81"/>
      <c r="J95" s="81"/>
    </row>
    <row r="96" spans="1:36" x14ac:dyDescent="0.3">
      <c r="A96" s="81"/>
      <c r="B96" s="81"/>
      <c r="C96" s="81"/>
      <c r="E96" s="81"/>
      <c r="F96" s="81"/>
      <c r="G96" s="81"/>
      <c r="H96" s="81"/>
      <c r="I96" s="81"/>
      <c r="J96" s="81"/>
    </row>
    <row r="97" spans="1:10" x14ac:dyDescent="0.3">
      <c r="A97" s="81"/>
      <c r="B97" s="81"/>
      <c r="C97" s="81"/>
      <c r="E97" s="81"/>
      <c r="F97" s="81"/>
      <c r="G97" s="81"/>
      <c r="H97" s="81"/>
      <c r="I97" s="81"/>
      <c r="J97" s="81"/>
    </row>
    <row r="98" spans="1:10" x14ac:dyDescent="0.3">
      <c r="A98" s="81"/>
      <c r="B98" s="81"/>
      <c r="C98" s="81"/>
      <c r="E98" s="81"/>
      <c r="F98" s="81"/>
      <c r="G98" s="81"/>
      <c r="H98" s="81"/>
      <c r="I98" s="81"/>
      <c r="J98" s="81"/>
    </row>
    <row r="99" spans="1:10" x14ac:dyDescent="0.3">
      <c r="A99" s="81"/>
      <c r="B99" s="81"/>
      <c r="C99" s="81"/>
      <c r="E99" s="81"/>
      <c r="F99" s="81"/>
      <c r="G99" s="81"/>
      <c r="H99" s="81"/>
      <c r="I99" s="81"/>
      <c r="J99" s="81"/>
    </row>
    <row r="100" spans="1:10" x14ac:dyDescent="0.3">
      <c r="A100" s="81"/>
      <c r="B100" s="81"/>
      <c r="C100" s="81"/>
      <c r="E100" s="81"/>
      <c r="F100" s="81"/>
      <c r="G100" s="81"/>
      <c r="H100" s="81"/>
      <c r="I100" s="81"/>
      <c r="J100" s="81"/>
    </row>
    <row r="101" spans="1:10" x14ac:dyDescent="0.3">
      <c r="A101" s="81"/>
      <c r="B101" s="81"/>
    </row>
    <row r="102" spans="1:10" x14ac:dyDescent="0.3">
      <c r="A102" s="81"/>
      <c r="B102" s="81"/>
    </row>
    <row r="103" spans="1:10" x14ac:dyDescent="0.3">
      <c r="A103" s="81"/>
      <c r="B103" s="81"/>
    </row>
    <row r="104" spans="1:10" x14ac:dyDescent="0.3">
      <c r="A104" s="81"/>
      <c r="B104" s="81"/>
    </row>
    <row r="105" spans="1:10" x14ac:dyDescent="0.3">
      <c r="A105" s="81"/>
      <c r="B105" s="81"/>
    </row>
    <row r="106" spans="1:10" x14ac:dyDescent="0.3">
      <c r="A106" s="81"/>
      <c r="B106" s="81"/>
    </row>
    <row r="107" spans="1:10" x14ac:dyDescent="0.3">
      <c r="A107" s="81"/>
      <c r="B107" s="81"/>
    </row>
    <row r="108" spans="1:10" x14ac:dyDescent="0.3">
      <c r="A108" s="81"/>
      <c r="B108" s="81"/>
    </row>
    <row r="109" spans="1:10" x14ac:dyDescent="0.3">
      <c r="A109" s="81"/>
      <c r="B109" s="81"/>
    </row>
    <row r="110" spans="1:10" x14ac:dyDescent="0.3">
      <c r="A110" s="81"/>
      <c r="B110" s="81"/>
    </row>
    <row r="111" spans="1:10" x14ac:dyDescent="0.3">
      <c r="A111" s="81"/>
      <c r="B111" s="81"/>
    </row>
    <row r="112" spans="1:10" x14ac:dyDescent="0.3">
      <c r="A112" s="81"/>
      <c r="B112" s="81"/>
    </row>
    <row r="113" spans="1:2" x14ac:dyDescent="0.3">
      <c r="A113" s="81"/>
      <c r="B113" s="81"/>
    </row>
    <row r="114" spans="1:2" x14ac:dyDescent="0.3">
      <c r="A114" s="81"/>
      <c r="B114" s="81"/>
    </row>
    <row r="115" spans="1:2" x14ac:dyDescent="0.3">
      <c r="A115" s="81"/>
      <c r="B115" s="81"/>
    </row>
    <row r="116" spans="1:2" x14ac:dyDescent="0.3">
      <c r="A116" s="81"/>
      <c r="B116" s="81"/>
    </row>
    <row r="117" spans="1:2" x14ac:dyDescent="0.3">
      <c r="A117" s="81"/>
      <c r="B117" s="81"/>
    </row>
    <row r="118" spans="1:2" x14ac:dyDescent="0.3">
      <c r="A118" s="81"/>
      <c r="B118" s="81"/>
    </row>
    <row r="119" spans="1:2" x14ac:dyDescent="0.3">
      <c r="A119" s="81"/>
      <c r="B119" s="81"/>
    </row>
    <row r="120" spans="1:2" x14ac:dyDescent="0.3">
      <c r="A120" s="81"/>
      <c r="B120" s="81"/>
    </row>
    <row r="121" spans="1:2" x14ac:dyDescent="0.3">
      <c r="A121" s="81"/>
      <c r="B121" s="81"/>
    </row>
    <row r="122" spans="1:2" x14ac:dyDescent="0.3">
      <c r="A122" s="81"/>
      <c r="B122" s="81"/>
    </row>
    <row r="123" spans="1:2" x14ac:dyDescent="0.3">
      <c r="A123" s="81"/>
      <c r="B123" s="81"/>
    </row>
    <row r="124" spans="1:2" x14ac:dyDescent="0.3">
      <c r="A124" s="81"/>
      <c r="B124" s="81"/>
    </row>
    <row r="125" spans="1:2" x14ac:dyDescent="0.3">
      <c r="A125" s="81"/>
      <c r="B125" s="81"/>
    </row>
    <row r="126" spans="1:2" x14ac:dyDescent="0.3">
      <c r="A126" s="81"/>
      <c r="B126" s="81"/>
    </row>
    <row r="127" spans="1:2" x14ac:dyDescent="0.3">
      <c r="A127" s="81"/>
      <c r="B127" s="81"/>
    </row>
    <row r="128" spans="1:2" x14ac:dyDescent="0.3">
      <c r="A128" s="81"/>
      <c r="B128" s="81"/>
    </row>
    <row r="129" spans="1:2" x14ac:dyDescent="0.3">
      <c r="A129" s="81"/>
      <c r="B129" s="81"/>
    </row>
    <row r="130" spans="1:2" x14ac:dyDescent="0.3">
      <c r="A130" s="81"/>
      <c r="B130" s="81"/>
    </row>
    <row r="131" spans="1:2" x14ac:dyDescent="0.3">
      <c r="A131" s="81"/>
      <c r="B131" s="81"/>
    </row>
    <row r="132" spans="1:2" x14ac:dyDescent="0.3">
      <c r="A132" s="81"/>
      <c r="B132" s="81"/>
    </row>
    <row r="133" spans="1:2" x14ac:dyDescent="0.3">
      <c r="A133" s="81"/>
      <c r="B133" s="81"/>
    </row>
    <row r="134" spans="1:2" x14ac:dyDescent="0.3">
      <c r="A134" s="81"/>
      <c r="B134" s="81"/>
    </row>
    <row r="135" spans="1:2" x14ac:dyDescent="0.3">
      <c r="A135" s="81"/>
      <c r="B135" s="81"/>
    </row>
  </sheetData>
  <mergeCells count="34">
    <mergeCell ref="S54:S63"/>
    <mergeCell ref="S67:S76"/>
    <mergeCell ref="S80:S89"/>
    <mergeCell ref="A1:O1"/>
    <mergeCell ref="S2:S11"/>
    <mergeCell ref="R12:S12"/>
    <mergeCell ref="S15:S24"/>
    <mergeCell ref="S28:S37"/>
    <mergeCell ref="D61:J63"/>
    <mergeCell ref="B88:J88"/>
    <mergeCell ref="I17:I18"/>
    <mergeCell ref="J17:J18"/>
    <mergeCell ref="L4:O8"/>
    <mergeCell ref="A2:I2"/>
    <mergeCell ref="B3:C3"/>
    <mergeCell ref="D3:E3"/>
    <mergeCell ref="F3:G3"/>
    <mergeCell ref="H3:I3"/>
    <mergeCell ref="AF32:AJ32"/>
    <mergeCell ref="AF48:AJ48"/>
    <mergeCell ref="A3:A13"/>
    <mergeCell ref="D17:H17"/>
    <mergeCell ref="A17:A18"/>
    <mergeCell ref="B17:B18"/>
    <mergeCell ref="C17:C18"/>
    <mergeCell ref="AE2:AE11"/>
    <mergeCell ref="AE15:AE24"/>
    <mergeCell ref="S41:S50"/>
    <mergeCell ref="AF62:AJ62"/>
    <mergeCell ref="AF76:AJ76"/>
    <mergeCell ref="AF74:AG74"/>
    <mergeCell ref="AF88:AG88"/>
    <mergeCell ref="AF44:AG44"/>
    <mergeCell ref="AF60:AG60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61AF-D1BF-4A5B-8529-553913C659ED}">
  <dimension ref="A1:AD74"/>
  <sheetViews>
    <sheetView topLeftCell="A25" zoomScale="57" zoomScaleNormal="70" workbookViewId="0">
      <selection activeCell="D34" sqref="D34:D43"/>
    </sheetView>
  </sheetViews>
  <sheetFormatPr defaultRowHeight="13.8" x14ac:dyDescent="0.25"/>
  <cols>
    <col min="1" max="1" width="6.6640625" style="2" customWidth="1"/>
    <col min="2" max="2" width="13.109375" style="2" customWidth="1"/>
    <col min="3" max="3" width="10" style="2" customWidth="1"/>
    <col min="4" max="4" width="13.44140625" style="2" customWidth="1"/>
    <col min="5" max="5" width="8.5546875" style="2" customWidth="1"/>
    <col min="6" max="6" width="13.109375" style="2" customWidth="1"/>
    <col min="7" max="7" width="8" style="2" customWidth="1"/>
    <col min="8" max="9" width="8.33203125" style="2" customWidth="1"/>
    <col min="10" max="10" width="16.6640625" style="2" customWidth="1"/>
    <col min="11" max="12" width="16.77734375" style="2" customWidth="1"/>
    <col min="13" max="13" width="15.44140625" style="2" customWidth="1"/>
    <col min="14" max="14" width="18.21875" style="2" customWidth="1"/>
    <col min="15" max="15" width="10.44140625" style="2" customWidth="1"/>
    <col min="16" max="17" width="16.21875" style="2" customWidth="1"/>
    <col min="18" max="18" width="14.33203125" style="2" customWidth="1"/>
    <col min="19" max="19" width="18.21875" style="2" customWidth="1"/>
    <col min="20" max="20" width="11.33203125" style="2" customWidth="1"/>
    <col min="21" max="21" width="18.77734375" style="2" customWidth="1"/>
    <col min="22" max="23" width="15" style="2" customWidth="1"/>
    <col min="24" max="24" width="17.88671875" style="2" customWidth="1"/>
    <col min="25" max="25" width="10.77734375" style="2" customWidth="1"/>
    <col min="26" max="26" width="19.44140625" style="2" customWidth="1"/>
    <col min="27" max="27" width="14.77734375" style="2" customWidth="1"/>
    <col min="28" max="28" width="10.77734375" style="2" customWidth="1"/>
    <col min="29" max="29" width="11.33203125" style="2" customWidth="1"/>
    <col min="30" max="30" width="18.33203125" style="2" customWidth="1"/>
    <col min="31" max="16384" width="8.88671875" style="2"/>
  </cols>
  <sheetData>
    <row r="1" spans="1:30" x14ac:dyDescent="0.25">
      <c r="A1" s="133" t="s">
        <v>161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</row>
    <row r="2" spans="1:30" s="56" customFormat="1" ht="14.4" customHeight="1" x14ac:dyDescent="0.25">
      <c r="A2" s="135" t="s">
        <v>52</v>
      </c>
      <c r="B2" s="136" t="s">
        <v>54</v>
      </c>
      <c r="C2" s="136" t="s">
        <v>55</v>
      </c>
      <c r="D2" s="136" t="s">
        <v>117</v>
      </c>
      <c r="E2" s="134" t="s">
        <v>57</v>
      </c>
      <c r="F2" s="134" t="s">
        <v>162</v>
      </c>
      <c r="G2" s="134" t="s">
        <v>136</v>
      </c>
      <c r="H2" s="134" t="s">
        <v>118</v>
      </c>
      <c r="I2" s="134" t="s">
        <v>140</v>
      </c>
      <c r="J2" s="134" t="s">
        <v>133</v>
      </c>
      <c r="K2" s="134" t="s">
        <v>53</v>
      </c>
      <c r="L2" s="55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</row>
    <row r="3" spans="1:30" s="56" customFormat="1" ht="15" customHeight="1" x14ac:dyDescent="0.25">
      <c r="A3" s="135"/>
      <c r="B3" s="136"/>
      <c r="C3" s="136"/>
      <c r="D3" s="136"/>
      <c r="E3" s="134"/>
      <c r="F3" s="134"/>
      <c r="G3" s="134"/>
      <c r="H3" s="134"/>
      <c r="I3" s="134"/>
      <c r="J3" s="134"/>
      <c r="K3" s="134"/>
      <c r="L3" s="55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</row>
    <row r="4" spans="1:30" x14ac:dyDescent="0.25">
      <c r="A4" s="5" t="s">
        <v>119</v>
      </c>
      <c r="B4" s="5">
        <v>2100</v>
      </c>
      <c r="C4" s="36">
        <f>D4/B4</f>
        <v>120.85714285714286</v>
      </c>
      <c r="D4" s="5">
        <f>2820*90</f>
        <v>253800</v>
      </c>
      <c r="E4" s="5">
        <v>48</v>
      </c>
      <c r="F4" s="36">
        <f>J4/G4</f>
        <v>2749.5</v>
      </c>
      <c r="G4" s="36">
        <v>84</v>
      </c>
      <c r="H4" s="137">
        <v>91</v>
      </c>
      <c r="I4" s="8">
        <v>1.3</v>
      </c>
      <c r="J4" s="36">
        <f>D4*H4%</f>
        <v>230958</v>
      </c>
      <c r="K4" s="5" t="s">
        <v>56</v>
      </c>
      <c r="L4" s="5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</row>
    <row r="5" spans="1:30" x14ac:dyDescent="0.25">
      <c r="A5" s="5" t="s">
        <v>120</v>
      </c>
      <c r="B5" s="5">
        <v>2200</v>
      </c>
      <c r="C5" s="36">
        <f>D5/B5</f>
        <v>115.36363636363636</v>
      </c>
      <c r="D5" s="5">
        <f t="shared" ref="D5:D13" si="0">2820*90</f>
        <v>253800</v>
      </c>
      <c r="E5" s="5">
        <v>48</v>
      </c>
      <c r="F5" s="36">
        <f t="shared" ref="F5:F13" si="1">J5/G5</f>
        <v>2749.5</v>
      </c>
      <c r="G5" s="36">
        <v>84</v>
      </c>
      <c r="H5" s="137"/>
      <c r="I5" s="8">
        <v>1.3</v>
      </c>
      <c r="J5" s="36">
        <f>D5*H4%</f>
        <v>230958</v>
      </c>
      <c r="K5" s="5" t="s">
        <v>56</v>
      </c>
      <c r="L5" s="5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</row>
    <row r="6" spans="1:30" x14ac:dyDescent="0.25">
      <c r="A6" s="5" t="s">
        <v>121</v>
      </c>
      <c r="B6" s="5">
        <v>2100</v>
      </c>
      <c r="C6" s="36">
        <f t="shared" ref="C6:C12" si="2">D6/B6</f>
        <v>120.85714285714286</v>
      </c>
      <c r="D6" s="5">
        <f t="shared" si="0"/>
        <v>253800</v>
      </c>
      <c r="E6" s="5">
        <v>48</v>
      </c>
      <c r="F6" s="36">
        <f t="shared" si="1"/>
        <v>2749.5</v>
      </c>
      <c r="G6" s="36">
        <v>84</v>
      </c>
      <c r="H6" s="137"/>
      <c r="I6" s="8">
        <v>1.3</v>
      </c>
      <c r="J6" s="36">
        <v>230958</v>
      </c>
      <c r="K6" s="5" t="s">
        <v>56</v>
      </c>
      <c r="L6" s="5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</row>
    <row r="7" spans="1:30" x14ac:dyDescent="0.25">
      <c r="A7" s="5" t="s">
        <v>122</v>
      </c>
      <c r="B7" s="5">
        <v>2200</v>
      </c>
      <c r="C7" s="36">
        <f t="shared" si="2"/>
        <v>115.36363636363636</v>
      </c>
      <c r="D7" s="5">
        <f t="shared" si="0"/>
        <v>253800</v>
      </c>
      <c r="E7" s="5">
        <v>48</v>
      </c>
      <c r="F7" s="36">
        <f t="shared" si="1"/>
        <v>2749.5</v>
      </c>
      <c r="G7" s="36">
        <v>84</v>
      </c>
      <c r="H7" s="137"/>
      <c r="I7" s="8">
        <v>1.4</v>
      </c>
      <c r="J7" s="36">
        <v>230958</v>
      </c>
      <c r="K7" s="5" t="s">
        <v>56</v>
      </c>
      <c r="L7" s="5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</row>
    <row r="8" spans="1:30" x14ac:dyDescent="0.25">
      <c r="A8" s="5" t="s">
        <v>123</v>
      </c>
      <c r="B8" s="5">
        <v>2200</v>
      </c>
      <c r="C8" s="36">
        <f t="shared" si="2"/>
        <v>115.36363636363636</v>
      </c>
      <c r="D8" s="5">
        <f t="shared" si="0"/>
        <v>253800</v>
      </c>
      <c r="E8" s="5">
        <v>48</v>
      </c>
      <c r="F8" s="36">
        <f t="shared" si="1"/>
        <v>2749.5</v>
      </c>
      <c r="G8" s="36">
        <v>84</v>
      </c>
      <c r="H8" s="137"/>
      <c r="I8" s="8">
        <v>1.3</v>
      </c>
      <c r="J8" s="36">
        <v>230958</v>
      </c>
      <c r="K8" s="5" t="s">
        <v>56</v>
      </c>
      <c r="L8" s="5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</row>
    <row r="9" spans="1:30" x14ac:dyDescent="0.25">
      <c r="A9" s="5" t="s">
        <v>50</v>
      </c>
      <c r="B9" s="5">
        <v>2100</v>
      </c>
      <c r="C9" s="36">
        <f>D9/B9</f>
        <v>120.85714285714286</v>
      </c>
      <c r="D9" s="5">
        <f t="shared" si="0"/>
        <v>253800</v>
      </c>
      <c r="E9" s="5">
        <v>48</v>
      </c>
      <c r="F9" s="36">
        <f t="shared" si="1"/>
        <v>2749.5</v>
      </c>
      <c r="G9" s="36">
        <v>84</v>
      </c>
      <c r="H9" s="137"/>
      <c r="I9" s="8">
        <v>1.5</v>
      </c>
      <c r="J9" s="36">
        <v>230958</v>
      </c>
      <c r="K9" s="5" t="s">
        <v>193</v>
      </c>
      <c r="L9" s="5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</row>
    <row r="10" spans="1:30" x14ac:dyDescent="0.25">
      <c r="A10" s="5" t="s">
        <v>49</v>
      </c>
      <c r="B10" s="5">
        <v>2100</v>
      </c>
      <c r="C10" s="36">
        <f t="shared" si="2"/>
        <v>120.85714285714286</v>
      </c>
      <c r="D10" s="5">
        <f t="shared" si="0"/>
        <v>253800</v>
      </c>
      <c r="E10" s="5">
        <v>48</v>
      </c>
      <c r="F10" s="36">
        <f t="shared" si="1"/>
        <v>2749.5</v>
      </c>
      <c r="G10" s="36">
        <v>84</v>
      </c>
      <c r="H10" s="137"/>
      <c r="I10" s="8">
        <v>1.4</v>
      </c>
      <c r="J10" s="36">
        <v>230958</v>
      </c>
      <c r="K10" s="5" t="s">
        <v>193</v>
      </c>
      <c r="L10" s="5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</row>
    <row r="11" spans="1:30" x14ac:dyDescent="0.25">
      <c r="A11" s="5" t="s">
        <v>48</v>
      </c>
      <c r="B11" s="5">
        <v>2200</v>
      </c>
      <c r="C11" s="36">
        <f t="shared" si="2"/>
        <v>115.36363636363636</v>
      </c>
      <c r="D11" s="5">
        <f t="shared" si="0"/>
        <v>253800</v>
      </c>
      <c r="E11" s="5">
        <v>48</v>
      </c>
      <c r="F11" s="36">
        <f t="shared" si="1"/>
        <v>2749.5</v>
      </c>
      <c r="G11" s="36">
        <v>84</v>
      </c>
      <c r="H11" s="137"/>
      <c r="I11" s="8">
        <v>1.3</v>
      </c>
      <c r="J11" s="36">
        <v>230958</v>
      </c>
      <c r="K11" s="5" t="s">
        <v>193</v>
      </c>
      <c r="L11" s="5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</row>
    <row r="12" spans="1:30" x14ac:dyDescent="0.25">
      <c r="A12" s="5" t="s">
        <v>47</v>
      </c>
      <c r="B12" s="5">
        <v>2200</v>
      </c>
      <c r="C12" s="36">
        <f t="shared" si="2"/>
        <v>115.36363636363636</v>
      </c>
      <c r="D12" s="5">
        <f t="shared" si="0"/>
        <v>253800</v>
      </c>
      <c r="E12" s="5">
        <v>48</v>
      </c>
      <c r="F12" s="36">
        <f t="shared" si="1"/>
        <v>2749.5</v>
      </c>
      <c r="G12" s="36">
        <v>84</v>
      </c>
      <c r="H12" s="137"/>
      <c r="I12" s="8">
        <v>1.5</v>
      </c>
      <c r="J12" s="36">
        <v>230958</v>
      </c>
      <c r="K12" s="5" t="s">
        <v>193</v>
      </c>
      <c r="L12" s="5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</row>
    <row r="13" spans="1:30" x14ac:dyDescent="0.25">
      <c r="A13" s="5" t="s">
        <v>46</v>
      </c>
      <c r="B13" s="5">
        <v>2100</v>
      </c>
      <c r="C13" s="36">
        <f>D13/B13</f>
        <v>120.85714285714286</v>
      </c>
      <c r="D13" s="5">
        <f t="shared" si="0"/>
        <v>253800</v>
      </c>
      <c r="E13" s="5">
        <v>48</v>
      </c>
      <c r="F13" s="36">
        <f t="shared" si="1"/>
        <v>2749.5</v>
      </c>
      <c r="G13" s="36">
        <v>84</v>
      </c>
      <c r="H13" s="137"/>
      <c r="I13" s="8">
        <v>1.3</v>
      </c>
      <c r="J13" s="36">
        <v>230958</v>
      </c>
      <c r="K13" s="5" t="s">
        <v>193</v>
      </c>
      <c r="L13" s="5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</row>
    <row r="14" spans="1:30" x14ac:dyDescent="0.25">
      <c r="A14" s="5" t="s">
        <v>2</v>
      </c>
      <c r="B14" s="5">
        <f>SUM(B4:B13)</f>
        <v>21500</v>
      </c>
      <c r="C14" s="36">
        <f>AVERAGE(C4:C13)</f>
        <v>118.11038961038962</v>
      </c>
      <c r="D14" s="5">
        <f>SUM(D4:D13)</f>
        <v>2538000</v>
      </c>
      <c r="E14" s="5"/>
      <c r="F14" s="36">
        <f>SUM(F4:F13)</f>
        <v>27495</v>
      </c>
      <c r="G14" s="36">
        <f>AVERAGE(G4:G13)</f>
        <v>84</v>
      </c>
      <c r="H14" s="137"/>
      <c r="I14" s="8">
        <v>1.3</v>
      </c>
      <c r="J14" s="36">
        <f>SUM(J4:J13)</f>
        <v>2309580</v>
      </c>
      <c r="K14" s="5" t="s">
        <v>116</v>
      </c>
      <c r="L14" s="5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</row>
    <row r="15" spans="1:3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R15" s="33"/>
    </row>
    <row r="16" spans="1:30" x14ac:dyDescent="0.25">
      <c r="A16" s="132" t="s">
        <v>164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</row>
    <row r="17" spans="1:23" ht="13.8" customHeight="1" x14ac:dyDescent="0.25">
      <c r="A17" s="137" t="s">
        <v>52</v>
      </c>
      <c r="B17" s="138" t="s">
        <v>54</v>
      </c>
      <c r="C17" s="139" t="s">
        <v>55</v>
      </c>
      <c r="D17" s="138" t="s">
        <v>117</v>
      </c>
      <c r="E17" s="138" t="s">
        <v>57</v>
      </c>
      <c r="F17" s="138" t="s">
        <v>162</v>
      </c>
      <c r="G17" s="138" t="s">
        <v>136</v>
      </c>
      <c r="H17" s="137" t="s">
        <v>118</v>
      </c>
      <c r="I17" s="137" t="s">
        <v>140</v>
      </c>
      <c r="J17" s="137" t="s">
        <v>133</v>
      </c>
      <c r="K17" s="137" t="s">
        <v>53</v>
      </c>
    </row>
    <row r="18" spans="1:23" x14ac:dyDescent="0.25">
      <c r="A18" s="137"/>
      <c r="B18" s="138"/>
      <c r="C18" s="139"/>
      <c r="D18" s="138"/>
      <c r="E18" s="138"/>
      <c r="F18" s="138"/>
      <c r="G18" s="138"/>
      <c r="H18" s="137"/>
      <c r="I18" s="137"/>
      <c r="J18" s="137"/>
      <c r="K18" s="137"/>
    </row>
    <row r="19" spans="1:23" x14ac:dyDescent="0.25">
      <c r="A19" s="5" t="s">
        <v>119</v>
      </c>
      <c r="B19" s="5">
        <v>2100</v>
      </c>
      <c r="C19" s="36">
        <f>D19/B19</f>
        <v>106.08571428571429</v>
      </c>
      <c r="D19" s="5">
        <v>222780</v>
      </c>
      <c r="E19" s="5">
        <v>86</v>
      </c>
      <c r="F19" s="36">
        <f>J19/G19</f>
        <v>2970.4</v>
      </c>
      <c r="G19" s="5">
        <v>60</v>
      </c>
      <c r="H19" s="137">
        <v>80</v>
      </c>
      <c r="I19" s="5">
        <v>1.5</v>
      </c>
      <c r="J19" s="5">
        <f>D19*H19%</f>
        <v>178224</v>
      </c>
      <c r="K19" s="5" t="s">
        <v>194</v>
      </c>
    </row>
    <row r="20" spans="1:23" ht="14.4" customHeight="1" x14ac:dyDescent="0.25">
      <c r="A20" s="5" t="s">
        <v>120</v>
      </c>
      <c r="B20" s="5">
        <v>2200</v>
      </c>
      <c r="C20" s="36">
        <f t="shared" ref="C20:C29" si="3">D20/B20</f>
        <v>101.26363636363637</v>
      </c>
      <c r="D20" s="5">
        <v>222780</v>
      </c>
      <c r="E20" s="5">
        <v>86</v>
      </c>
      <c r="F20" s="36">
        <f t="shared" ref="F20:F28" si="4">J20/G20</f>
        <v>2970.4</v>
      </c>
      <c r="G20" s="5">
        <v>60</v>
      </c>
      <c r="H20" s="137"/>
      <c r="I20" s="5">
        <v>1.5</v>
      </c>
      <c r="J20" s="5">
        <v>178224</v>
      </c>
      <c r="K20" s="5" t="s">
        <v>194</v>
      </c>
      <c r="M20" s="132" t="s">
        <v>195</v>
      </c>
      <c r="N20" s="132"/>
      <c r="O20" s="132"/>
      <c r="Q20" s="33"/>
    </row>
    <row r="21" spans="1:23" x14ac:dyDescent="0.25">
      <c r="A21" s="5" t="s">
        <v>121</v>
      </c>
      <c r="B21" s="5">
        <v>2100</v>
      </c>
      <c r="C21" s="36">
        <f t="shared" si="3"/>
        <v>106.08571428571429</v>
      </c>
      <c r="D21" s="5">
        <v>222780</v>
      </c>
      <c r="E21" s="5">
        <v>86</v>
      </c>
      <c r="F21" s="36">
        <f t="shared" si="4"/>
        <v>2970.4</v>
      </c>
      <c r="G21" s="5">
        <v>60</v>
      </c>
      <c r="H21" s="137"/>
      <c r="I21" s="5">
        <v>1.5</v>
      </c>
      <c r="J21" s="5">
        <v>178224</v>
      </c>
      <c r="K21" s="5" t="s">
        <v>194</v>
      </c>
      <c r="M21" s="2" t="s">
        <v>196</v>
      </c>
      <c r="N21" s="42">
        <f>F14*50000</f>
        <v>1374750000</v>
      </c>
    </row>
    <row r="22" spans="1:23" x14ac:dyDescent="0.25">
      <c r="A22" s="5" t="s">
        <v>122</v>
      </c>
      <c r="B22" s="5">
        <v>2200</v>
      </c>
      <c r="C22" s="36">
        <f t="shared" si="3"/>
        <v>101.26363636363637</v>
      </c>
      <c r="D22" s="5">
        <v>222780</v>
      </c>
      <c r="E22" s="5">
        <v>86</v>
      </c>
      <c r="F22" s="36">
        <f t="shared" si="4"/>
        <v>2970.4</v>
      </c>
      <c r="G22" s="5">
        <v>60</v>
      </c>
      <c r="H22" s="137"/>
      <c r="I22" s="5">
        <v>1.5</v>
      </c>
      <c r="J22" s="5">
        <v>178224</v>
      </c>
      <c r="K22" s="5" t="s">
        <v>194</v>
      </c>
      <c r="M22" s="2" t="s">
        <v>197</v>
      </c>
      <c r="N22" s="42">
        <f>F29*57000</f>
        <v>1693128000.0000005</v>
      </c>
    </row>
    <row r="23" spans="1:23" x14ac:dyDescent="0.25">
      <c r="A23" s="5" t="s">
        <v>123</v>
      </c>
      <c r="B23" s="5">
        <v>2200</v>
      </c>
      <c r="C23" s="36">
        <f t="shared" si="3"/>
        <v>101.26363636363637</v>
      </c>
      <c r="D23" s="5">
        <v>222780</v>
      </c>
      <c r="E23" s="5">
        <v>86</v>
      </c>
      <c r="F23" s="36">
        <f t="shared" si="4"/>
        <v>2970.4</v>
      </c>
      <c r="G23" s="5">
        <v>60</v>
      </c>
      <c r="H23" s="137"/>
      <c r="I23" s="5">
        <v>1.5</v>
      </c>
      <c r="J23" s="5">
        <v>178224</v>
      </c>
      <c r="K23" s="5" t="s">
        <v>194</v>
      </c>
    </row>
    <row r="24" spans="1:23" x14ac:dyDescent="0.25">
      <c r="A24" s="5" t="s">
        <v>50</v>
      </c>
      <c r="B24" s="5">
        <v>2100</v>
      </c>
      <c r="C24" s="36">
        <f t="shared" si="3"/>
        <v>106.08571428571429</v>
      </c>
      <c r="D24" s="5">
        <v>222780</v>
      </c>
      <c r="E24" s="5">
        <v>86</v>
      </c>
      <c r="F24" s="36">
        <f t="shared" si="4"/>
        <v>2970.4</v>
      </c>
      <c r="G24" s="5">
        <v>60</v>
      </c>
      <c r="H24" s="137"/>
      <c r="I24" s="5">
        <v>1.5</v>
      </c>
      <c r="J24" s="5">
        <v>178224</v>
      </c>
      <c r="K24" s="5" t="s">
        <v>194</v>
      </c>
    </row>
    <row r="25" spans="1:23" x14ac:dyDescent="0.25">
      <c r="A25" s="5" t="s">
        <v>49</v>
      </c>
      <c r="B25" s="5">
        <v>2100</v>
      </c>
      <c r="C25" s="36">
        <f t="shared" si="3"/>
        <v>106.08571428571429</v>
      </c>
      <c r="D25" s="5">
        <v>222780</v>
      </c>
      <c r="E25" s="5">
        <v>86</v>
      </c>
      <c r="F25" s="36">
        <f t="shared" si="4"/>
        <v>2970.4</v>
      </c>
      <c r="G25" s="5">
        <v>60</v>
      </c>
      <c r="H25" s="137"/>
      <c r="I25" s="5">
        <v>1.5</v>
      </c>
      <c r="J25" s="5">
        <v>178224</v>
      </c>
      <c r="K25" s="5" t="s">
        <v>194</v>
      </c>
    </row>
    <row r="26" spans="1:23" x14ac:dyDescent="0.25">
      <c r="A26" s="5" t="s">
        <v>48</v>
      </c>
      <c r="B26" s="5">
        <v>2200</v>
      </c>
      <c r="C26" s="36">
        <f t="shared" si="3"/>
        <v>101.26363636363637</v>
      </c>
      <c r="D26" s="5">
        <v>222780</v>
      </c>
      <c r="E26" s="5">
        <v>86</v>
      </c>
      <c r="F26" s="36">
        <f t="shared" si="4"/>
        <v>2970.4</v>
      </c>
      <c r="G26" s="5">
        <v>60</v>
      </c>
      <c r="H26" s="137"/>
      <c r="I26" s="5">
        <v>1.5</v>
      </c>
      <c r="J26" s="5">
        <v>178224</v>
      </c>
      <c r="K26" s="5" t="s">
        <v>194</v>
      </c>
    </row>
    <row r="27" spans="1:23" x14ac:dyDescent="0.25">
      <c r="A27" s="5" t="s">
        <v>47</v>
      </c>
      <c r="B27" s="5">
        <v>2200</v>
      </c>
      <c r="C27" s="36">
        <f t="shared" si="3"/>
        <v>101.26363636363637</v>
      </c>
      <c r="D27" s="5">
        <v>222780</v>
      </c>
      <c r="E27" s="5">
        <v>86</v>
      </c>
      <c r="F27" s="36">
        <f t="shared" si="4"/>
        <v>2970.4</v>
      </c>
      <c r="G27" s="5">
        <v>60</v>
      </c>
      <c r="H27" s="137"/>
      <c r="I27" s="5">
        <v>1.5</v>
      </c>
      <c r="J27" s="5">
        <v>178224</v>
      </c>
      <c r="K27" s="5" t="s">
        <v>194</v>
      </c>
    </row>
    <row r="28" spans="1:23" x14ac:dyDescent="0.25">
      <c r="A28" s="5" t="s">
        <v>46</v>
      </c>
      <c r="B28" s="5">
        <v>2100</v>
      </c>
      <c r="C28" s="36">
        <f t="shared" si="3"/>
        <v>106.08571428571429</v>
      </c>
      <c r="D28" s="5">
        <v>222780</v>
      </c>
      <c r="E28" s="5">
        <v>86</v>
      </c>
      <c r="F28" s="36">
        <f t="shared" si="4"/>
        <v>2970.4</v>
      </c>
      <c r="G28" s="5">
        <v>60</v>
      </c>
      <c r="H28" s="137"/>
      <c r="I28" s="5">
        <v>1.5</v>
      </c>
      <c r="J28" s="5">
        <v>178224</v>
      </c>
      <c r="K28" s="5" t="s">
        <v>194</v>
      </c>
    </row>
    <row r="29" spans="1:23" x14ac:dyDescent="0.25">
      <c r="A29" s="5" t="s">
        <v>2</v>
      </c>
      <c r="B29" s="5">
        <v>21900</v>
      </c>
      <c r="C29" s="36">
        <f t="shared" si="3"/>
        <v>101.72602739726027</v>
      </c>
      <c r="D29" s="5">
        <f>SUM(D19:D28)</f>
        <v>2227800</v>
      </c>
      <c r="E29" s="5"/>
      <c r="F29" s="36">
        <f>SUM(F19:F28)</f>
        <v>29704.000000000007</v>
      </c>
      <c r="G29" s="5">
        <v>60</v>
      </c>
      <c r="H29" s="137"/>
      <c r="I29" s="5">
        <v>1.5</v>
      </c>
      <c r="J29" s="5">
        <f>SUM(J19:J28)</f>
        <v>1782240</v>
      </c>
      <c r="K29" s="5" t="s">
        <v>116</v>
      </c>
    </row>
    <row r="30" spans="1:23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23" x14ac:dyDescent="0.25">
      <c r="A31" s="132" t="s">
        <v>165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</row>
    <row r="32" spans="1:23" x14ac:dyDescent="0.25">
      <c r="A32" s="137" t="s">
        <v>52</v>
      </c>
      <c r="B32" s="138" t="s">
        <v>54</v>
      </c>
      <c r="C32" s="139" t="s">
        <v>55</v>
      </c>
      <c r="D32" s="138" t="s">
        <v>117</v>
      </c>
      <c r="E32" s="138" t="s">
        <v>57</v>
      </c>
      <c r="F32" s="138" t="s">
        <v>162</v>
      </c>
      <c r="G32" s="138" t="s">
        <v>136</v>
      </c>
      <c r="H32" s="137" t="s">
        <v>118</v>
      </c>
      <c r="I32" s="137" t="s">
        <v>140</v>
      </c>
      <c r="J32" s="137" t="s">
        <v>133</v>
      </c>
      <c r="K32" s="137" t="s">
        <v>53</v>
      </c>
      <c r="O32" s="141" t="s">
        <v>52</v>
      </c>
      <c r="P32" s="140" t="s">
        <v>198</v>
      </c>
      <c r="Q32" s="137" t="s">
        <v>199</v>
      </c>
      <c r="R32" s="137" t="s">
        <v>200</v>
      </c>
      <c r="T32" s="141" t="s">
        <v>52</v>
      </c>
      <c r="U32" s="138" t="s">
        <v>198</v>
      </c>
      <c r="V32" s="137" t="s">
        <v>199</v>
      </c>
      <c r="W32" s="137" t="s">
        <v>200</v>
      </c>
    </row>
    <row r="33" spans="1:23" x14ac:dyDescent="0.25">
      <c r="A33" s="137"/>
      <c r="B33" s="138"/>
      <c r="C33" s="139"/>
      <c r="D33" s="138"/>
      <c r="E33" s="138"/>
      <c r="F33" s="138"/>
      <c r="G33" s="138"/>
      <c r="H33" s="137"/>
      <c r="I33" s="137"/>
      <c r="J33" s="137"/>
      <c r="K33" s="137"/>
      <c r="O33" s="141"/>
      <c r="P33" s="140"/>
      <c r="Q33" s="137"/>
      <c r="R33" s="137"/>
      <c r="T33" s="141"/>
      <c r="U33" s="138"/>
      <c r="V33" s="137"/>
      <c r="W33" s="137"/>
    </row>
    <row r="34" spans="1:23" x14ac:dyDescent="0.25">
      <c r="A34" s="5" t="s">
        <v>119</v>
      </c>
      <c r="B34" s="5">
        <v>2100</v>
      </c>
      <c r="C34" s="36">
        <f>D34/B34</f>
        <v>120</v>
      </c>
      <c r="D34" s="5">
        <v>252000</v>
      </c>
      <c r="E34" s="5">
        <v>120</v>
      </c>
      <c r="F34" s="36">
        <f>J34/G34</f>
        <v>5815.3846153846152</v>
      </c>
      <c r="G34" s="5">
        <v>39</v>
      </c>
      <c r="H34" s="137">
        <v>90</v>
      </c>
      <c r="I34" s="5">
        <v>1.2</v>
      </c>
      <c r="J34" s="5">
        <f>D34*H34%</f>
        <v>226800</v>
      </c>
      <c r="K34" s="5" t="s">
        <v>56</v>
      </c>
      <c r="O34" s="5" t="s">
        <v>119</v>
      </c>
      <c r="P34" s="36">
        <v>106</v>
      </c>
      <c r="Q34" s="5">
        <v>5141</v>
      </c>
      <c r="R34" s="5"/>
      <c r="T34" s="5" t="s">
        <v>119</v>
      </c>
      <c r="U34" s="36">
        <v>120</v>
      </c>
      <c r="V34" s="5">
        <v>5815</v>
      </c>
      <c r="W34" s="5"/>
    </row>
    <row r="35" spans="1:23" x14ac:dyDescent="0.25">
      <c r="A35" s="5" t="s">
        <v>120</v>
      </c>
      <c r="B35" s="5">
        <v>2200</v>
      </c>
      <c r="C35" s="36">
        <f t="shared" ref="C35:C43" si="5">D35/B35</f>
        <v>114.54545454545455</v>
      </c>
      <c r="D35" s="5">
        <v>252000</v>
      </c>
      <c r="E35" s="5">
        <v>120</v>
      </c>
      <c r="F35" s="36">
        <f t="shared" ref="F35:F43" si="6">J35/G35</f>
        <v>5815.3846153846152</v>
      </c>
      <c r="G35" s="5">
        <v>39</v>
      </c>
      <c r="H35" s="137"/>
      <c r="I35" s="5">
        <v>1.3</v>
      </c>
      <c r="J35" s="5">
        <f>D35*H34%</f>
        <v>226800</v>
      </c>
      <c r="K35" s="5" t="s">
        <v>56</v>
      </c>
      <c r="O35" s="5" t="s">
        <v>120</v>
      </c>
      <c r="P35" s="36">
        <v>103</v>
      </c>
      <c r="Q35" s="5">
        <v>5206</v>
      </c>
      <c r="R35" s="5"/>
      <c r="T35" s="5" t="s">
        <v>120</v>
      </c>
      <c r="U35" s="36">
        <v>114.54545454545455</v>
      </c>
      <c r="V35" s="5">
        <v>5815</v>
      </c>
      <c r="W35" s="5"/>
    </row>
    <row r="36" spans="1:23" x14ac:dyDescent="0.25">
      <c r="A36" s="5" t="s">
        <v>121</v>
      </c>
      <c r="B36" s="5">
        <v>2100</v>
      </c>
      <c r="C36" s="36">
        <f t="shared" si="5"/>
        <v>120</v>
      </c>
      <c r="D36" s="5">
        <v>252000</v>
      </c>
      <c r="E36" s="5">
        <v>120</v>
      </c>
      <c r="F36" s="36">
        <f t="shared" si="6"/>
        <v>5670</v>
      </c>
      <c r="G36" s="5">
        <v>40</v>
      </c>
      <c r="H36" s="137"/>
      <c r="I36" s="5">
        <v>1.2</v>
      </c>
      <c r="J36" s="5">
        <f>D36*90%</f>
        <v>226800</v>
      </c>
      <c r="K36" s="5" t="s">
        <v>56</v>
      </c>
      <c r="O36" s="5" t="s">
        <v>121</v>
      </c>
      <c r="P36" s="36">
        <v>106</v>
      </c>
      <c r="Q36" s="5">
        <v>5013</v>
      </c>
      <c r="R36" s="5"/>
      <c r="T36" s="5" t="s">
        <v>121</v>
      </c>
      <c r="U36" s="36">
        <v>120</v>
      </c>
      <c r="V36" s="5">
        <v>5670</v>
      </c>
      <c r="W36" s="5"/>
    </row>
    <row r="37" spans="1:23" x14ac:dyDescent="0.25">
      <c r="A37" s="5" t="s">
        <v>122</v>
      </c>
      <c r="B37" s="5">
        <v>2200</v>
      </c>
      <c r="C37" s="36">
        <f t="shared" si="5"/>
        <v>114.54545454545455</v>
      </c>
      <c r="D37" s="5">
        <v>252000</v>
      </c>
      <c r="E37" s="5">
        <v>120</v>
      </c>
      <c r="F37" s="36">
        <f t="shared" si="6"/>
        <v>5968.4210526315792</v>
      </c>
      <c r="G37" s="5">
        <v>38</v>
      </c>
      <c r="H37" s="137"/>
      <c r="I37" s="5">
        <v>1.4</v>
      </c>
      <c r="J37" s="5">
        <f>D37*90%</f>
        <v>226800</v>
      </c>
      <c r="K37" s="5" t="s">
        <v>56</v>
      </c>
      <c r="O37" s="5" t="s">
        <v>122</v>
      </c>
      <c r="P37" s="36">
        <v>103</v>
      </c>
      <c r="Q37" s="5">
        <v>5343</v>
      </c>
      <c r="R37" s="5"/>
      <c r="T37" s="5" t="s">
        <v>122</v>
      </c>
      <c r="U37" s="36">
        <v>114.54545454545455</v>
      </c>
      <c r="V37" s="5">
        <v>5968</v>
      </c>
      <c r="W37" s="5"/>
    </row>
    <row r="38" spans="1:23" x14ac:dyDescent="0.25">
      <c r="A38" s="5" t="s">
        <v>123</v>
      </c>
      <c r="B38" s="5">
        <v>2200</v>
      </c>
      <c r="C38" s="36">
        <f t="shared" si="5"/>
        <v>114.54545454545455</v>
      </c>
      <c r="D38" s="5">
        <v>252000</v>
      </c>
      <c r="E38" s="5">
        <v>120</v>
      </c>
      <c r="F38" s="36">
        <f t="shared" si="6"/>
        <v>5511.2400000000007</v>
      </c>
      <c r="G38" s="36">
        <f>1000/24.3</f>
        <v>41.152263374485592</v>
      </c>
      <c r="H38" s="137"/>
      <c r="I38" s="5">
        <v>1.2</v>
      </c>
      <c r="J38" s="5">
        <f t="shared" ref="J38:J43" si="7">D38*90%</f>
        <v>226800</v>
      </c>
      <c r="K38" s="5" t="s">
        <v>56</v>
      </c>
      <c r="O38" s="5" t="s">
        <v>123</v>
      </c>
      <c r="P38" s="36">
        <v>103</v>
      </c>
      <c r="Q38" s="5">
        <v>4934</v>
      </c>
      <c r="R38" s="5"/>
      <c r="T38" s="5" t="s">
        <v>123</v>
      </c>
      <c r="U38" s="36">
        <v>114.54545454545455</v>
      </c>
      <c r="V38" s="5">
        <v>5511</v>
      </c>
      <c r="W38" s="5"/>
    </row>
    <row r="39" spans="1:23" x14ac:dyDescent="0.25">
      <c r="A39" s="5" t="s">
        <v>50</v>
      </c>
      <c r="B39" s="5">
        <v>2100</v>
      </c>
      <c r="C39" s="36">
        <f t="shared" si="5"/>
        <v>120</v>
      </c>
      <c r="D39" s="5">
        <v>252000</v>
      </c>
      <c r="E39" s="5">
        <v>120</v>
      </c>
      <c r="F39" s="36">
        <f t="shared" si="6"/>
        <v>6129.72972972973</v>
      </c>
      <c r="G39" s="5">
        <v>37</v>
      </c>
      <c r="H39" s="137"/>
      <c r="I39" s="5">
        <v>1.7</v>
      </c>
      <c r="J39" s="5">
        <f t="shared" si="7"/>
        <v>226800</v>
      </c>
      <c r="K39" s="5" t="s">
        <v>56</v>
      </c>
      <c r="O39" s="5" t="s">
        <v>50</v>
      </c>
      <c r="P39" s="36">
        <v>102</v>
      </c>
      <c r="Q39" s="5">
        <v>6174</v>
      </c>
      <c r="R39" s="5"/>
      <c r="T39" s="5" t="s">
        <v>50</v>
      </c>
      <c r="U39" s="36">
        <v>120</v>
      </c>
      <c r="V39" s="5">
        <v>6129</v>
      </c>
      <c r="W39" s="5"/>
    </row>
    <row r="40" spans="1:23" x14ac:dyDescent="0.25">
      <c r="A40" s="5" t="s">
        <v>49</v>
      </c>
      <c r="B40" s="5">
        <v>2100</v>
      </c>
      <c r="C40" s="36">
        <f t="shared" si="5"/>
        <v>120</v>
      </c>
      <c r="D40" s="5">
        <v>252000</v>
      </c>
      <c r="E40" s="5">
        <v>120</v>
      </c>
      <c r="F40" s="36">
        <f t="shared" si="6"/>
        <v>5670</v>
      </c>
      <c r="G40" s="5">
        <v>40</v>
      </c>
      <c r="H40" s="137"/>
      <c r="I40" s="5">
        <v>1.7</v>
      </c>
      <c r="J40" s="5">
        <f t="shared" si="7"/>
        <v>226800</v>
      </c>
      <c r="K40" s="5" t="s">
        <v>56</v>
      </c>
      <c r="O40" s="5" t="s">
        <v>49</v>
      </c>
      <c r="P40" s="36">
        <v>106</v>
      </c>
      <c r="Q40" s="5">
        <v>5013</v>
      </c>
      <c r="R40" s="5"/>
      <c r="T40" s="5" t="s">
        <v>49</v>
      </c>
      <c r="U40" s="36">
        <v>120</v>
      </c>
      <c r="V40" s="5">
        <v>5670</v>
      </c>
      <c r="W40" s="5"/>
    </row>
    <row r="41" spans="1:23" x14ac:dyDescent="0.25">
      <c r="A41" s="5" t="s">
        <v>48</v>
      </c>
      <c r="B41" s="5">
        <v>2200</v>
      </c>
      <c r="C41" s="36">
        <f t="shared" si="5"/>
        <v>114.54545454545455</v>
      </c>
      <c r="D41" s="5">
        <v>252000</v>
      </c>
      <c r="E41" s="5">
        <v>120</v>
      </c>
      <c r="F41" s="36">
        <f t="shared" si="6"/>
        <v>5968.4210526315792</v>
      </c>
      <c r="G41" s="5">
        <v>38</v>
      </c>
      <c r="H41" s="137"/>
      <c r="I41" s="5">
        <v>1.7</v>
      </c>
      <c r="J41" s="5">
        <f t="shared" si="7"/>
        <v>226800</v>
      </c>
      <c r="K41" s="5" t="s">
        <v>56</v>
      </c>
      <c r="O41" s="5" t="s">
        <v>48</v>
      </c>
      <c r="P41" s="36">
        <v>103</v>
      </c>
      <c r="Q41" s="5">
        <v>5343</v>
      </c>
      <c r="R41" s="5"/>
      <c r="T41" s="5" t="s">
        <v>48</v>
      </c>
      <c r="U41" s="36">
        <v>114.54545454545455</v>
      </c>
      <c r="V41" s="5">
        <v>5968</v>
      </c>
      <c r="W41" s="5"/>
    </row>
    <row r="42" spans="1:23" x14ac:dyDescent="0.25">
      <c r="A42" s="5" t="s">
        <v>47</v>
      </c>
      <c r="B42" s="5">
        <v>2200</v>
      </c>
      <c r="C42" s="36">
        <f t="shared" si="5"/>
        <v>114.54545454545455</v>
      </c>
      <c r="D42" s="5">
        <v>252000</v>
      </c>
      <c r="E42" s="5">
        <v>120</v>
      </c>
      <c r="F42" s="36">
        <f t="shared" si="6"/>
        <v>5815.3846153846152</v>
      </c>
      <c r="G42" s="5">
        <v>39</v>
      </c>
      <c r="H42" s="137"/>
      <c r="I42" s="5">
        <v>1.8</v>
      </c>
      <c r="J42" s="5">
        <f>D42*90%</f>
        <v>226800</v>
      </c>
      <c r="K42" s="5" t="s">
        <v>56</v>
      </c>
      <c r="O42" s="5" t="s">
        <v>47</v>
      </c>
      <c r="P42" s="36">
        <v>103</v>
      </c>
      <c r="Q42" s="5">
        <v>5206</v>
      </c>
      <c r="R42" s="5"/>
      <c r="T42" s="5" t="s">
        <v>47</v>
      </c>
      <c r="U42" s="36">
        <v>114.54545454545455</v>
      </c>
      <c r="V42" s="5">
        <v>5815</v>
      </c>
      <c r="W42" s="5"/>
    </row>
    <row r="43" spans="1:23" x14ac:dyDescent="0.25">
      <c r="A43" s="5" t="s">
        <v>46</v>
      </c>
      <c r="B43" s="5">
        <v>2100</v>
      </c>
      <c r="C43" s="36">
        <f t="shared" si="5"/>
        <v>120</v>
      </c>
      <c r="D43" s="5">
        <v>252000</v>
      </c>
      <c r="E43" s="5">
        <v>120</v>
      </c>
      <c r="F43" s="36">
        <f t="shared" si="6"/>
        <v>5670</v>
      </c>
      <c r="G43" s="5">
        <v>40</v>
      </c>
      <c r="H43" s="137"/>
      <c r="I43" s="5">
        <v>1.6</v>
      </c>
      <c r="J43" s="5">
        <f t="shared" si="7"/>
        <v>226800</v>
      </c>
      <c r="K43" s="5" t="s">
        <v>56</v>
      </c>
      <c r="O43" s="5" t="s">
        <v>46</v>
      </c>
      <c r="P43" s="36">
        <v>106</v>
      </c>
      <c r="Q43" s="5">
        <v>5013</v>
      </c>
      <c r="R43" s="5"/>
      <c r="T43" s="5" t="s">
        <v>46</v>
      </c>
      <c r="U43" s="36">
        <v>120</v>
      </c>
      <c r="V43" s="5">
        <v>5670</v>
      </c>
      <c r="W43" s="5"/>
    </row>
    <row r="44" spans="1:23" x14ac:dyDescent="0.25">
      <c r="A44" s="5" t="s">
        <v>2</v>
      </c>
      <c r="B44" s="5">
        <v>21900</v>
      </c>
      <c r="C44" s="36">
        <f>AVERAGE(C34:C43)</f>
        <v>117.27272727272728</v>
      </c>
      <c r="D44" s="5">
        <f>SUM(D34:D43)</f>
        <v>2520000</v>
      </c>
      <c r="E44" s="5">
        <v>120</v>
      </c>
      <c r="F44" s="36">
        <f>SUM(F34:F43)</f>
        <v>58033.965681146743</v>
      </c>
      <c r="G44" s="36">
        <v>38</v>
      </c>
      <c r="H44" s="137"/>
      <c r="I44" s="48">
        <f>AVERAGE(I34:I43)</f>
        <v>1.48</v>
      </c>
      <c r="J44" s="5">
        <f>SUM(J34:J43)</f>
        <v>2268000</v>
      </c>
      <c r="K44" s="5" t="s">
        <v>116</v>
      </c>
    </row>
    <row r="45" spans="1:23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23" x14ac:dyDescent="0.25">
      <c r="A46" s="132" t="s">
        <v>166</v>
      </c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O46" s="141" t="s">
        <v>52</v>
      </c>
      <c r="P46" s="138" t="s">
        <v>140</v>
      </c>
      <c r="Q46" s="137" t="s">
        <v>199</v>
      </c>
      <c r="R46" s="137" t="s">
        <v>200</v>
      </c>
      <c r="T46" s="141" t="s">
        <v>52</v>
      </c>
      <c r="U46" s="138" t="s">
        <v>198</v>
      </c>
      <c r="V46" s="137" t="s">
        <v>199</v>
      </c>
      <c r="W46" s="137" t="s">
        <v>200</v>
      </c>
    </row>
    <row r="47" spans="1:23" x14ac:dyDescent="0.25">
      <c r="A47" s="137" t="s">
        <v>52</v>
      </c>
      <c r="B47" s="138" t="s">
        <v>54</v>
      </c>
      <c r="C47" s="139" t="s">
        <v>55</v>
      </c>
      <c r="D47" s="138" t="s">
        <v>117</v>
      </c>
      <c r="E47" s="138" t="s">
        <v>57</v>
      </c>
      <c r="F47" s="138" t="s">
        <v>162</v>
      </c>
      <c r="G47" s="138" t="s">
        <v>136</v>
      </c>
      <c r="H47" s="137" t="s">
        <v>118</v>
      </c>
      <c r="I47" s="137" t="s">
        <v>140</v>
      </c>
      <c r="J47" s="137" t="s">
        <v>133</v>
      </c>
      <c r="K47" s="137" t="s">
        <v>53</v>
      </c>
      <c r="O47" s="141"/>
      <c r="P47" s="138"/>
      <c r="Q47" s="137"/>
      <c r="R47" s="137"/>
      <c r="T47" s="141"/>
      <c r="U47" s="138"/>
      <c r="V47" s="137"/>
      <c r="W47" s="137"/>
    </row>
    <row r="48" spans="1:23" x14ac:dyDescent="0.25">
      <c r="A48" s="137"/>
      <c r="B48" s="138"/>
      <c r="C48" s="139"/>
      <c r="D48" s="138"/>
      <c r="E48" s="138"/>
      <c r="F48" s="138"/>
      <c r="G48" s="138"/>
      <c r="H48" s="137"/>
      <c r="I48" s="137"/>
      <c r="J48" s="137"/>
      <c r="K48" s="137"/>
      <c r="O48" s="5" t="s">
        <v>119</v>
      </c>
      <c r="P48" s="5">
        <v>1.3</v>
      </c>
      <c r="Q48" s="5">
        <v>5141</v>
      </c>
      <c r="R48" s="5"/>
      <c r="T48" s="5" t="s">
        <v>119</v>
      </c>
      <c r="U48" s="36">
        <v>103.33333333333333</v>
      </c>
      <c r="V48" s="5">
        <v>4290</v>
      </c>
      <c r="W48" s="5"/>
    </row>
    <row r="49" spans="1:23" x14ac:dyDescent="0.25">
      <c r="A49" s="5" t="s">
        <v>119</v>
      </c>
      <c r="B49" s="5">
        <v>2100</v>
      </c>
      <c r="C49" s="36">
        <f>D49/B49</f>
        <v>120</v>
      </c>
      <c r="D49" s="5">
        <v>252000</v>
      </c>
      <c r="E49" s="5">
        <v>120</v>
      </c>
      <c r="F49" s="36">
        <f>J49/G49</f>
        <v>4868.181818181818</v>
      </c>
      <c r="G49" s="5">
        <v>44</v>
      </c>
      <c r="H49" s="137">
        <v>85</v>
      </c>
      <c r="I49" s="5">
        <v>1.3</v>
      </c>
      <c r="J49" s="5">
        <f>D49*85%</f>
        <v>214200</v>
      </c>
      <c r="K49" s="5" t="s">
        <v>193</v>
      </c>
      <c r="O49" s="5" t="s">
        <v>120</v>
      </c>
      <c r="P49" s="5">
        <v>1.3</v>
      </c>
      <c r="Q49" s="5">
        <v>5206</v>
      </c>
      <c r="R49" s="5"/>
      <c r="T49" s="5" t="s">
        <v>120</v>
      </c>
      <c r="U49" s="36">
        <v>98.63636363636364</v>
      </c>
      <c r="V49" s="5">
        <v>5102</v>
      </c>
      <c r="W49" s="5"/>
    </row>
    <row r="50" spans="1:23" x14ac:dyDescent="0.25">
      <c r="A50" s="5" t="s">
        <v>120</v>
      </c>
      <c r="B50" s="5">
        <v>2200</v>
      </c>
      <c r="C50" s="36">
        <f t="shared" ref="C50:C58" si="8">D50/B50</f>
        <v>114.54545454545455</v>
      </c>
      <c r="D50" s="5">
        <v>252000</v>
      </c>
      <c r="E50" s="5">
        <v>120</v>
      </c>
      <c r="F50" s="36">
        <f t="shared" ref="F50:F58" si="9">J50/G50</f>
        <v>5789.1891891891892</v>
      </c>
      <c r="G50" s="36">
        <v>37</v>
      </c>
      <c r="H50" s="137"/>
      <c r="I50" s="5">
        <v>1.3</v>
      </c>
      <c r="J50" s="5">
        <f t="shared" ref="J50:J58" si="10">D50*85%</f>
        <v>214200</v>
      </c>
      <c r="K50" s="5" t="s">
        <v>193</v>
      </c>
      <c r="M50" s="2" t="s">
        <v>243</v>
      </c>
      <c r="O50" s="5" t="s">
        <v>121</v>
      </c>
      <c r="P50" s="5">
        <v>1.3</v>
      </c>
      <c r="Q50" s="5">
        <v>5013</v>
      </c>
      <c r="R50" s="5"/>
      <c r="T50" s="5" t="s">
        <v>121</v>
      </c>
      <c r="U50" s="36">
        <v>103.33333333333333</v>
      </c>
      <c r="V50" s="5">
        <v>5244</v>
      </c>
      <c r="W50" s="5"/>
    </row>
    <row r="51" spans="1:23" x14ac:dyDescent="0.25">
      <c r="A51" s="5" t="s">
        <v>121</v>
      </c>
      <c r="B51" s="5">
        <v>2100</v>
      </c>
      <c r="C51" s="36">
        <f t="shared" si="8"/>
        <v>120</v>
      </c>
      <c r="D51" s="5">
        <v>252000</v>
      </c>
      <c r="E51" s="5">
        <v>120</v>
      </c>
      <c r="F51" s="36">
        <f t="shared" si="9"/>
        <v>5950</v>
      </c>
      <c r="G51" s="5">
        <v>36</v>
      </c>
      <c r="H51" s="137"/>
      <c r="I51" s="5">
        <v>1.3</v>
      </c>
      <c r="J51" s="5">
        <f t="shared" si="10"/>
        <v>214200</v>
      </c>
      <c r="K51" s="5" t="s">
        <v>193</v>
      </c>
      <c r="O51" s="5" t="s">
        <v>122</v>
      </c>
      <c r="P51" s="5">
        <v>1.4</v>
      </c>
      <c r="Q51" s="5">
        <v>5343</v>
      </c>
      <c r="R51" s="5"/>
      <c r="T51" s="5" t="s">
        <v>122</v>
      </c>
      <c r="U51" s="36">
        <v>98.63636363636364</v>
      </c>
      <c r="V51" s="5">
        <v>4840</v>
      </c>
      <c r="W51" s="5"/>
    </row>
    <row r="52" spans="1:23" x14ac:dyDescent="0.25">
      <c r="A52" s="5" t="s">
        <v>122</v>
      </c>
      <c r="B52" s="5">
        <v>2200</v>
      </c>
      <c r="C52" s="36">
        <f t="shared" si="8"/>
        <v>114.54545454545455</v>
      </c>
      <c r="D52" s="5">
        <v>252000</v>
      </c>
      <c r="E52" s="5">
        <v>120</v>
      </c>
      <c r="F52" s="36">
        <f t="shared" si="9"/>
        <v>5492.3076923076924</v>
      </c>
      <c r="G52" s="5">
        <v>39</v>
      </c>
      <c r="H52" s="137"/>
      <c r="I52" s="5">
        <v>1.4</v>
      </c>
      <c r="J52" s="5">
        <f t="shared" si="10"/>
        <v>214200</v>
      </c>
      <c r="K52" s="5" t="s">
        <v>193</v>
      </c>
      <c r="O52" s="5" t="s">
        <v>123</v>
      </c>
      <c r="P52" s="5">
        <v>1.3</v>
      </c>
      <c r="Q52" s="5">
        <v>4934</v>
      </c>
      <c r="R52" s="5"/>
      <c r="T52" s="5" t="s">
        <v>123</v>
      </c>
      <c r="U52" s="36">
        <v>98.63636363636364</v>
      </c>
      <c r="V52" s="5">
        <v>4195</v>
      </c>
      <c r="W52" s="5"/>
    </row>
    <row r="53" spans="1:23" x14ac:dyDescent="0.25">
      <c r="A53" s="5" t="s">
        <v>123</v>
      </c>
      <c r="B53" s="5">
        <v>2200</v>
      </c>
      <c r="C53" s="36">
        <f t="shared" si="8"/>
        <v>114.54545454545455</v>
      </c>
      <c r="D53" s="5">
        <v>252000</v>
      </c>
      <c r="E53" s="5">
        <v>120</v>
      </c>
      <c r="F53" s="36">
        <f t="shared" si="9"/>
        <v>4760</v>
      </c>
      <c r="G53" s="5">
        <v>45</v>
      </c>
      <c r="H53" s="137"/>
      <c r="I53" s="5">
        <v>1.3</v>
      </c>
      <c r="J53" s="5">
        <f t="shared" si="10"/>
        <v>214200</v>
      </c>
      <c r="K53" s="5" t="s">
        <v>193</v>
      </c>
      <c r="O53" s="5" t="s">
        <v>50</v>
      </c>
      <c r="P53" s="5">
        <v>1.2</v>
      </c>
      <c r="Q53" s="5">
        <v>6174</v>
      </c>
      <c r="R53" s="5"/>
      <c r="T53" s="5" t="s">
        <v>50</v>
      </c>
      <c r="U53" s="36">
        <v>103.33333333333333</v>
      </c>
      <c r="V53" s="5">
        <v>4719</v>
      </c>
      <c r="W53" s="5"/>
    </row>
    <row r="54" spans="1:23" x14ac:dyDescent="0.25">
      <c r="A54" s="5" t="s">
        <v>50</v>
      </c>
      <c r="B54" s="5">
        <v>2100</v>
      </c>
      <c r="C54" s="36">
        <f t="shared" si="8"/>
        <v>120</v>
      </c>
      <c r="D54" s="5">
        <v>252000</v>
      </c>
      <c r="E54" s="5">
        <v>120</v>
      </c>
      <c r="F54" s="36">
        <f t="shared" si="9"/>
        <v>5355</v>
      </c>
      <c r="G54" s="5">
        <v>40</v>
      </c>
      <c r="H54" s="137"/>
      <c r="I54" s="5">
        <v>1.5</v>
      </c>
      <c r="J54" s="5">
        <f t="shared" si="10"/>
        <v>214200</v>
      </c>
      <c r="K54" s="5" t="s">
        <v>194</v>
      </c>
      <c r="O54" s="5" t="s">
        <v>49</v>
      </c>
      <c r="P54" s="5">
        <v>1.2</v>
      </c>
      <c r="Q54" s="5">
        <v>5013</v>
      </c>
      <c r="R54" s="5"/>
      <c r="T54" s="5" t="s">
        <v>49</v>
      </c>
      <c r="U54" s="36">
        <v>103.33333333333333</v>
      </c>
      <c r="V54" s="5">
        <v>5102</v>
      </c>
      <c r="W54" s="5"/>
    </row>
    <row r="55" spans="1:23" x14ac:dyDescent="0.25">
      <c r="A55" s="5" t="s">
        <v>49</v>
      </c>
      <c r="B55" s="5">
        <v>2100</v>
      </c>
      <c r="C55" s="36">
        <f t="shared" si="8"/>
        <v>120</v>
      </c>
      <c r="D55" s="5">
        <v>252000</v>
      </c>
      <c r="E55" s="5">
        <v>120</v>
      </c>
      <c r="F55" s="36">
        <f t="shared" si="9"/>
        <v>5789.1891891891892</v>
      </c>
      <c r="G55" s="5">
        <v>37</v>
      </c>
      <c r="H55" s="137"/>
      <c r="I55" s="5">
        <v>1.4</v>
      </c>
      <c r="J55" s="5">
        <f t="shared" si="10"/>
        <v>214200</v>
      </c>
      <c r="K55" s="5" t="s">
        <v>194</v>
      </c>
      <c r="O55" s="5" t="s">
        <v>48</v>
      </c>
      <c r="P55" s="5">
        <v>1.2</v>
      </c>
      <c r="Q55" s="5">
        <v>5343</v>
      </c>
      <c r="R55" s="5"/>
      <c r="T55" s="5" t="s">
        <v>48</v>
      </c>
      <c r="U55" s="36">
        <v>98.63636363636364</v>
      </c>
      <c r="V55" s="5">
        <v>4390</v>
      </c>
      <c r="W55" s="5"/>
    </row>
    <row r="56" spans="1:23" x14ac:dyDescent="0.25">
      <c r="A56" s="5" t="s">
        <v>48</v>
      </c>
      <c r="B56" s="5">
        <v>2200</v>
      </c>
      <c r="C56" s="36">
        <f t="shared" si="8"/>
        <v>114.54545454545455</v>
      </c>
      <c r="D56" s="5">
        <v>252000</v>
      </c>
      <c r="E56" s="5">
        <v>120</v>
      </c>
      <c r="F56" s="36">
        <f t="shared" si="9"/>
        <v>4981.395348837209</v>
      </c>
      <c r="G56" s="5">
        <v>43</v>
      </c>
      <c r="H56" s="137"/>
      <c r="I56" s="5">
        <v>1.3</v>
      </c>
      <c r="J56" s="5">
        <f t="shared" si="10"/>
        <v>214200</v>
      </c>
      <c r="K56" s="5" t="s">
        <v>194</v>
      </c>
      <c r="O56" s="5" t="s">
        <v>47</v>
      </c>
      <c r="P56" s="5">
        <v>1.3</v>
      </c>
      <c r="Q56" s="5">
        <v>5206</v>
      </c>
      <c r="R56" s="5"/>
      <c r="T56" s="5" t="s">
        <v>47</v>
      </c>
      <c r="U56" s="36">
        <v>98.63636363636364</v>
      </c>
      <c r="V56" s="5">
        <v>4495</v>
      </c>
      <c r="W56" s="5"/>
    </row>
    <row r="57" spans="1:23" x14ac:dyDescent="0.25">
      <c r="A57" s="5" t="s">
        <v>47</v>
      </c>
      <c r="B57" s="5">
        <v>2200</v>
      </c>
      <c r="C57" s="36">
        <f t="shared" si="8"/>
        <v>114.54545454545455</v>
      </c>
      <c r="D57" s="5">
        <v>252000</v>
      </c>
      <c r="E57" s="5">
        <v>120</v>
      </c>
      <c r="F57" s="36">
        <f t="shared" si="9"/>
        <v>5100</v>
      </c>
      <c r="G57" s="5">
        <v>42</v>
      </c>
      <c r="H57" s="137"/>
      <c r="I57" s="5">
        <v>1.5</v>
      </c>
      <c r="J57" s="5">
        <f t="shared" si="10"/>
        <v>214200</v>
      </c>
      <c r="K57" s="5" t="s">
        <v>194</v>
      </c>
      <c r="O57" s="5" t="s">
        <v>46</v>
      </c>
      <c r="P57" s="5">
        <v>1.1000000000000001</v>
      </c>
      <c r="Q57" s="5">
        <v>5013</v>
      </c>
      <c r="R57" s="5"/>
      <c r="T57" s="5" t="s">
        <v>46</v>
      </c>
      <c r="U57" s="36">
        <v>103.33333333333333</v>
      </c>
      <c r="V57" s="5">
        <v>4604</v>
      </c>
      <c r="W57" s="5"/>
    </row>
    <row r="58" spans="1:23" x14ac:dyDescent="0.25">
      <c r="A58" s="5" t="s">
        <v>46</v>
      </c>
      <c r="B58" s="5">
        <v>2100</v>
      </c>
      <c r="C58" s="36">
        <f t="shared" si="8"/>
        <v>120</v>
      </c>
      <c r="D58" s="5">
        <v>252000</v>
      </c>
      <c r="E58" s="5">
        <v>120</v>
      </c>
      <c r="F58" s="36">
        <f t="shared" si="9"/>
        <v>5224.3902439024387</v>
      </c>
      <c r="G58" s="5">
        <v>41</v>
      </c>
      <c r="H58" s="137"/>
      <c r="I58" s="5">
        <v>1.3</v>
      </c>
      <c r="J58" s="5">
        <f t="shared" si="10"/>
        <v>214200</v>
      </c>
      <c r="K58" s="5" t="s">
        <v>194</v>
      </c>
    </row>
    <row r="59" spans="1:23" x14ac:dyDescent="0.25">
      <c r="A59" s="5" t="s">
        <v>2</v>
      </c>
      <c r="B59" s="5">
        <v>21900</v>
      </c>
      <c r="C59" s="36">
        <f>AVERAGE(C49:C58)</f>
        <v>117.27272727272728</v>
      </c>
      <c r="D59" s="5">
        <f>SUM(D49:D58)</f>
        <v>2520000</v>
      </c>
      <c r="E59" s="5">
        <v>120</v>
      </c>
      <c r="F59" s="36">
        <f>SUM(F49:F58)</f>
        <v>53309.653481607529</v>
      </c>
      <c r="G59" s="36">
        <f>AVERAGE(G49:G58)</f>
        <v>40.4</v>
      </c>
      <c r="H59" s="137"/>
      <c r="I59" s="5">
        <v>1.3</v>
      </c>
      <c r="J59" s="5">
        <f>SUM(J49:J58)</f>
        <v>2142000</v>
      </c>
      <c r="K59" s="5" t="s">
        <v>116</v>
      </c>
      <c r="O59" s="141" t="s">
        <v>52</v>
      </c>
      <c r="P59" s="138" t="s">
        <v>140</v>
      </c>
      <c r="Q59" s="137" t="s">
        <v>199</v>
      </c>
      <c r="R59" s="137" t="s">
        <v>200</v>
      </c>
    </row>
    <row r="60" spans="1:23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O60" s="141"/>
      <c r="P60" s="138"/>
      <c r="Q60" s="137"/>
      <c r="R60" s="137"/>
    </row>
    <row r="61" spans="1:23" x14ac:dyDescent="0.25">
      <c r="A61" s="132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O61" s="5" t="s">
        <v>119</v>
      </c>
      <c r="P61" s="5">
        <v>1.2</v>
      </c>
      <c r="Q61" s="5">
        <v>5141</v>
      </c>
    </row>
    <row r="62" spans="1:23" x14ac:dyDescent="0.25">
      <c r="A62" s="137"/>
      <c r="B62" s="138"/>
      <c r="C62" s="139"/>
      <c r="D62" s="138"/>
      <c r="E62" s="138"/>
      <c r="F62" s="138"/>
      <c r="G62" s="138"/>
      <c r="H62" s="137"/>
      <c r="I62" s="137"/>
      <c r="J62" s="137"/>
      <c r="K62" s="137"/>
      <c r="O62" s="5" t="s">
        <v>120</v>
      </c>
      <c r="P62" s="5">
        <v>1.3</v>
      </c>
      <c r="Q62" s="5">
        <v>5206</v>
      </c>
    </row>
    <row r="63" spans="1:23" x14ac:dyDescent="0.25">
      <c r="A63" s="137"/>
      <c r="B63" s="138"/>
      <c r="C63" s="139"/>
      <c r="D63" s="138"/>
      <c r="E63" s="138"/>
      <c r="F63" s="138"/>
      <c r="G63" s="138"/>
      <c r="H63" s="137"/>
      <c r="I63" s="137"/>
      <c r="J63" s="137"/>
      <c r="K63" s="137"/>
      <c r="O63" s="5" t="s">
        <v>121</v>
      </c>
      <c r="P63" s="5">
        <v>1.2</v>
      </c>
      <c r="Q63" s="5">
        <v>5013</v>
      </c>
    </row>
    <row r="64" spans="1:23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O64" s="5" t="s">
        <v>122</v>
      </c>
      <c r="P64" s="5">
        <v>1.4</v>
      </c>
      <c r="Q64" s="5">
        <v>5343</v>
      </c>
    </row>
    <row r="65" spans="1:1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O65" s="5" t="s">
        <v>123</v>
      </c>
      <c r="P65" s="5">
        <v>1.2</v>
      </c>
      <c r="Q65" s="5">
        <v>4934</v>
      </c>
    </row>
    <row r="66" spans="1:1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O66" s="5" t="s">
        <v>50</v>
      </c>
      <c r="P66" s="5">
        <v>1.7</v>
      </c>
      <c r="Q66" s="5">
        <v>6174</v>
      </c>
    </row>
    <row r="67" spans="1:1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O67" s="5" t="s">
        <v>49</v>
      </c>
      <c r="P67" s="5">
        <v>1.7</v>
      </c>
      <c r="Q67" s="5">
        <v>5013</v>
      </c>
    </row>
    <row r="68" spans="1:1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O68" s="5" t="s">
        <v>48</v>
      </c>
      <c r="P68" s="5">
        <v>1.7</v>
      </c>
      <c r="Q68" s="5">
        <v>5343</v>
      </c>
    </row>
    <row r="69" spans="1:1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O69" s="5" t="s">
        <v>47</v>
      </c>
      <c r="P69" s="5">
        <v>1.8</v>
      </c>
      <c r="Q69" s="5">
        <v>5206</v>
      </c>
    </row>
    <row r="70" spans="1:1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O70" s="5" t="s">
        <v>46</v>
      </c>
      <c r="P70" s="5">
        <v>1.6</v>
      </c>
      <c r="Q70" s="5">
        <v>5013</v>
      </c>
    </row>
    <row r="71" spans="1:1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</sheetData>
  <mergeCells count="85">
    <mergeCell ref="T32:T33"/>
    <mergeCell ref="U32:U33"/>
    <mergeCell ref="V32:V33"/>
    <mergeCell ref="W32:W33"/>
    <mergeCell ref="T46:T47"/>
    <mergeCell ref="U46:U47"/>
    <mergeCell ref="V46:V47"/>
    <mergeCell ref="W46:W47"/>
    <mergeCell ref="P32:P33"/>
    <mergeCell ref="O32:O33"/>
    <mergeCell ref="Q32:Q33"/>
    <mergeCell ref="R32:R33"/>
    <mergeCell ref="K62:K63"/>
    <mergeCell ref="O46:O47"/>
    <mergeCell ref="P46:P47"/>
    <mergeCell ref="Q46:Q47"/>
    <mergeCell ref="R46:R47"/>
    <mergeCell ref="O59:O60"/>
    <mergeCell ref="P59:P60"/>
    <mergeCell ref="Q59:Q60"/>
    <mergeCell ref="R59:R60"/>
    <mergeCell ref="C47:C48"/>
    <mergeCell ref="F62:F63"/>
    <mergeCell ref="G62:G63"/>
    <mergeCell ref="H62:H63"/>
    <mergeCell ref="I62:I63"/>
    <mergeCell ref="H49:H59"/>
    <mergeCell ref="J62:J63"/>
    <mergeCell ref="F47:F48"/>
    <mergeCell ref="G47:G48"/>
    <mergeCell ref="A61:K61"/>
    <mergeCell ref="D32:D33"/>
    <mergeCell ref="J32:J33"/>
    <mergeCell ref="A62:A63"/>
    <mergeCell ref="B62:B63"/>
    <mergeCell ref="C62:C63"/>
    <mergeCell ref="D62:D63"/>
    <mergeCell ref="E62:E63"/>
    <mergeCell ref="E32:E33"/>
    <mergeCell ref="F32:F33"/>
    <mergeCell ref="G32:G33"/>
    <mergeCell ref="H32:H33"/>
    <mergeCell ref="I32:I33"/>
    <mergeCell ref="H34:H44"/>
    <mergeCell ref="K17:K18"/>
    <mergeCell ref="H2:H3"/>
    <mergeCell ref="K32:K33"/>
    <mergeCell ref="A47:A48"/>
    <mergeCell ref="B47:B48"/>
    <mergeCell ref="D47:D48"/>
    <mergeCell ref="E47:E48"/>
    <mergeCell ref="A31:K31"/>
    <mergeCell ref="A46:K46"/>
    <mergeCell ref="H47:H48"/>
    <mergeCell ref="I47:I48"/>
    <mergeCell ref="J47:J48"/>
    <mergeCell ref="K47:K48"/>
    <mergeCell ref="A32:A33"/>
    <mergeCell ref="B32:B33"/>
    <mergeCell ref="F17:F18"/>
    <mergeCell ref="G17:G18"/>
    <mergeCell ref="H17:H18"/>
    <mergeCell ref="I17:I18"/>
    <mergeCell ref="H19:H29"/>
    <mergeCell ref="B17:B18"/>
    <mergeCell ref="C17:C18"/>
    <mergeCell ref="D17:D18"/>
    <mergeCell ref="E17:E18"/>
    <mergeCell ref="C32:C33"/>
    <mergeCell ref="M20:O20"/>
    <mergeCell ref="A1:K1"/>
    <mergeCell ref="E2:E3"/>
    <mergeCell ref="F2:F3"/>
    <mergeCell ref="G2:G3"/>
    <mergeCell ref="I2:I3"/>
    <mergeCell ref="J2:J3"/>
    <mergeCell ref="A2:A3"/>
    <mergeCell ref="B2:B3"/>
    <mergeCell ref="C2:C3"/>
    <mergeCell ref="D2:D3"/>
    <mergeCell ref="K2:K3"/>
    <mergeCell ref="A16:K16"/>
    <mergeCell ref="H4:H14"/>
    <mergeCell ref="J17:J18"/>
    <mergeCell ref="A17:A18"/>
  </mergeCells>
  <pageMargins left="0.7" right="0.7" top="0.75" bottom="0.75" header="0.3" footer="0.3"/>
  <pageSetup orientation="portrait" r:id="rId1"/>
  <ignoredErrors>
    <ignoredError sqref="C14 J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2850-B061-4A92-8075-4BCB585D50E5}">
  <dimension ref="A1:Q75"/>
  <sheetViews>
    <sheetView tabSelected="1" topLeftCell="C24" zoomScale="53" zoomScaleNormal="90" workbookViewId="0">
      <selection activeCell="I56" sqref="I56"/>
    </sheetView>
  </sheetViews>
  <sheetFormatPr defaultRowHeight="14.4" x14ac:dyDescent="0.3"/>
  <cols>
    <col min="1" max="1" width="8.77734375" customWidth="1"/>
    <col min="2" max="2" width="21.109375" customWidth="1"/>
    <col min="3" max="3" width="9.21875" customWidth="1"/>
    <col min="4" max="4" width="19.6640625" customWidth="1"/>
    <col min="5" max="5" width="19.109375" customWidth="1"/>
    <col min="6" max="6" width="21.109375" customWidth="1"/>
    <col min="7" max="7" width="18" customWidth="1"/>
    <col min="8" max="8" width="11.5546875" customWidth="1"/>
    <col min="9" max="9" width="21" customWidth="1"/>
    <col min="15" max="15" width="21.77734375" customWidth="1"/>
    <col min="16" max="16" width="8.88671875" customWidth="1"/>
    <col min="17" max="17" width="26.109375" customWidth="1"/>
  </cols>
  <sheetData>
    <row r="1" spans="1:9" ht="28.2" thickBot="1" x14ac:dyDescent="0.35">
      <c r="A1" s="3" t="s">
        <v>1</v>
      </c>
      <c r="B1" s="3" t="s">
        <v>3</v>
      </c>
      <c r="C1" s="3" t="s">
        <v>4</v>
      </c>
      <c r="D1" s="3" t="s">
        <v>5</v>
      </c>
      <c r="E1" s="4" t="s">
        <v>6</v>
      </c>
      <c r="F1" s="4" t="s">
        <v>7</v>
      </c>
      <c r="G1" s="102" t="s">
        <v>33</v>
      </c>
      <c r="H1" s="4" t="s">
        <v>8</v>
      </c>
      <c r="I1" s="4" t="s">
        <v>9</v>
      </c>
    </row>
    <row r="2" spans="1:9" x14ac:dyDescent="0.3">
      <c r="A2" s="5">
        <v>1</v>
      </c>
      <c r="B2" s="6" t="s">
        <v>66</v>
      </c>
      <c r="C2" s="5">
        <v>50</v>
      </c>
      <c r="D2" s="5" t="s">
        <v>12</v>
      </c>
      <c r="E2" s="7">
        <v>1800000</v>
      </c>
      <c r="F2" s="7">
        <f>C2*E2</f>
        <v>90000000</v>
      </c>
      <c r="G2" s="7">
        <v>5000000</v>
      </c>
      <c r="H2" s="5">
        <v>10</v>
      </c>
      <c r="I2" s="7">
        <f t="shared" ref="I2:I25" si="0">(F2-G2)/H2</f>
        <v>8500000</v>
      </c>
    </row>
    <row r="3" spans="1:9" x14ac:dyDescent="0.3">
      <c r="A3" s="5">
        <v>2</v>
      </c>
      <c r="B3" s="6" t="s">
        <v>67</v>
      </c>
      <c r="C3" s="5">
        <v>60</v>
      </c>
      <c r="D3" s="5" t="s">
        <v>12</v>
      </c>
      <c r="E3" s="7">
        <v>1500000</v>
      </c>
      <c r="F3" s="7">
        <f>C3*E3</f>
        <v>90000000</v>
      </c>
      <c r="G3" s="7">
        <v>3000000</v>
      </c>
      <c r="H3" s="5">
        <v>10</v>
      </c>
      <c r="I3" s="7">
        <f t="shared" si="0"/>
        <v>8700000</v>
      </c>
    </row>
    <row r="4" spans="1:9" x14ac:dyDescent="0.3">
      <c r="A4" s="5">
        <v>3</v>
      </c>
      <c r="B4" s="6" t="s">
        <v>68</v>
      </c>
      <c r="C4" s="5">
        <v>50000</v>
      </c>
      <c r="D4" s="5" t="s">
        <v>11</v>
      </c>
      <c r="E4" s="7">
        <v>25000</v>
      </c>
      <c r="F4" s="7">
        <f t="shared" ref="F4:F25" si="1">C4*E4</f>
        <v>1250000000</v>
      </c>
      <c r="G4" s="7">
        <f>C4*1000</f>
        <v>50000000</v>
      </c>
      <c r="H4" s="5">
        <v>10</v>
      </c>
      <c r="I4" s="7">
        <f t="shared" si="0"/>
        <v>120000000</v>
      </c>
    </row>
    <row r="5" spans="1:9" x14ac:dyDescent="0.3">
      <c r="A5" s="5">
        <v>4</v>
      </c>
      <c r="B5" s="6" t="s">
        <v>69</v>
      </c>
      <c r="C5" s="5">
        <v>100</v>
      </c>
      <c r="D5" s="5" t="s">
        <v>10</v>
      </c>
      <c r="E5" s="7">
        <v>5000000</v>
      </c>
      <c r="F5" s="7">
        <f t="shared" si="1"/>
        <v>500000000</v>
      </c>
      <c r="G5" s="7">
        <f>200000*C5</f>
        <v>20000000</v>
      </c>
      <c r="H5" s="5">
        <v>10</v>
      </c>
      <c r="I5" s="7">
        <f t="shared" si="0"/>
        <v>48000000</v>
      </c>
    </row>
    <row r="6" spans="1:9" x14ac:dyDescent="0.3">
      <c r="A6" s="5">
        <v>5</v>
      </c>
      <c r="B6" s="6" t="s">
        <v>70</v>
      </c>
      <c r="C6" s="5">
        <v>5000</v>
      </c>
      <c r="D6" s="5" t="s">
        <v>11</v>
      </c>
      <c r="E6" s="7">
        <v>15000</v>
      </c>
      <c r="F6" s="7">
        <f t="shared" si="1"/>
        <v>75000000</v>
      </c>
      <c r="G6" s="7">
        <f>1000*C6</f>
        <v>5000000</v>
      </c>
      <c r="H6" s="5">
        <v>5</v>
      </c>
      <c r="I6" s="7">
        <f t="shared" si="0"/>
        <v>14000000</v>
      </c>
    </row>
    <row r="7" spans="1:9" x14ac:dyDescent="0.3">
      <c r="A7" s="5">
        <v>6</v>
      </c>
      <c r="B7" s="6" t="s">
        <v>71</v>
      </c>
      <c r="C7" s="5">
        <v>2</v>
      </c>
      <c r="D7" s="5" t="s">
        <v>12</v>
      </c>
      <c r="E7" s="7">
        <v>12000000</v>
      </c>
      <c r="F7" s="7">
        <f t="shared" si="1"/>
        <v>24000000</v>
      </c>
      <c r="G7" s="7">
        <v>1000000</v>
      </c>
      <c r="H7" s="5">
        <v>5</v>
      </c>
      <c r="I7" s="7">
        <f t="shared" si="0"/>
        <v>4600000</v>
      </c>
    </row>
    <row r="8" spans="1:9" x14ac:dyDescent="0.3">
      <c r="A8" s="5">
        <v>7</v>
      </c>
      <c r="B8" s="6" t="s">
        <v>72</v>
      </c>
      <c r="C8" s="5">
        <v>30</v>
      </c>
      <c r="D8" s="5" t="s">
        <v>12</v>
      </c>
      <c r="E8" s="7">
        <v>150000</v>
      </c>
      <c r="F8" s="7">
        <f t="shared" si="1"/>
        <v>4500000</v>
      </c>
      <c r="G8" s="7">
        <v>500000</v>
      </c>
      <c r="H8" s="5">
        <v>2</v>
      </c>
      <c r="I8" s="7">
        <f t="shared" si="0"/>
        <v>2000000</v>
      </c>
    </row>
    <row r="9" spans="1:9" x14ac:dyDescent="0.3">
      <c r="A9" s="5">
        <v>8</v>
      </c>
      <c r="B9" s="6" t="s">
        <v>73</v>
      </c>
      <c r="C9" s="5">
        <v>30</v>
      </c>
      <c r="D9" s="5" t="s">
        <v>12</v>
      </c>
      <c r="E9" s="7">
        <v>300000</v>
      </c>
      <c r="F9" s="7">
        <f t="shared" si="1"/>
        <v>9000000</v>
      </c>
      <c r="G9" s="7">
        <v>0</v>
      </c>
      <c r="H9" s="5">
        <v>3</v>
      </c>
      <c r="I9" s="7">
        <f t="shared" si="0"/>
        <v>3000000</v>
      </c>
    </row>
    <row r="10" spans="1:9" x14ac:dyDescent="0.3">
      <c r="A10" s="5">
        <v>9</v>
      </c>
      <c r="B10" s="6" t="s">
        <v>74</v>
      </c>
      <c r="C10" s="5">
        <v>2</v>
      </c>
      <c r="D10" s="5" t="s">
        <v>12</v>
      </c>
      <c r="E10" s="7">
        <v>6000000</v>
      </c>
      <c r="F10" s="7">
        <f t="shared" si="1"/>
        <v>12000000</v>
      </c>
      <c r="G10" s="7">
        <v>1000000</v>
      </c>
      <c r="H10" s="5">
        <v>10</v>
      </c>
      <c r="I10" s="7">
        <f t="shared" si="0"/>
        <v>1100000</v>
      </c>
    </row>
    <row r="11" spans="1:9" x14ac:dyDescent="0.3">
      <c r="A11" s="5">
        <v>10</v>
      </c>
      <c r="B11" s="6" t="s">
        <v>75</v>
      </c>
      <c r="C11" s="8">
        <v>1</v>
      </c>
      <c r="D11" s="5" t="s">
        <v>12</v>
      </c>
      <c r="E11" s="9">
        <v>4000000</v>
      </c>
      <c r="F11" s="9">
        <f t="shared" si="1"/>
        <v>4000000</v>
      </c>
      <c r="G11" s="7">
        <v>1000000</v>
      </c>
      <c r="H11" s="8">
        <v>5</v>
      </c>
      <c r="I11" s="7">
        <f t="shared" si="0"/>
        <v>600000</v>
      </c>
    </row>
    <row r="12" spans="1:9" x14ac:dyDescent="0.3">
      <c r="A12" s="5">
        <v>11</v>
      </c>
      <c r="B12" s="6" t="s">
        <v>76</v>
      </c>
      <c r="C12" s="8">
        <v>1</v>
      </c>
      <c r="D12" s="5" t="s">
        <v>12</v>
      </c>
      <c r="E12" s="9">
        <v>5000000</v>
      </c>
      <c r="F12" s="9">
        <f t="shared" si="1"/>
        <v>5000000</v>
      </c>
      <c r="G12" s="7">
        <v>1000000</v>
      </c>
      <c r="H12" s="8">
        <v>5</v>
      </c>
      <c r="I12" s="7">
        <f t="shared" si="0"/>
        <v>800000</v>
      </c>
    </row>
    <row r="13" spans="1:9" x14ac:dyDescent="0.3">
      <c r="A13" s="5">
        <v>12</v>
      </c>
      <c r="B13" s="6" t="s">
        <v>77</v>
      </c>
      <c r="C13" s="5">
        <v>1</v>
      </c>
      <c r="D13" s="5" t="s">
        <v>12</v>
      </c>
      <c r="E13" s="7">
        <v>6000000</v>
      </c>
      <c r="F13" s="7">
        <f t="shared" si="1"/>
        <v>6000000</v>
      </c>
      <c r="G13" s="7">
        <v>1000000</v>
      </c>
      <c r="H13" s="5">
        <v>10</v>
      </c>
      <c r="I13" s="7">
        <f t="shared" si="0"/>
        <v>500000</v>
      </c>
    </row>
    <row r="14" spans="1:9" x14ac:dyDescent="0.3">
      <c r="A14" s="5">
        <v>13</v>
      </c>
      <c r="B14" s="6" t="s">
        <v>78</v>
      </c>
      <c r="C14" s="5">
        <v>1</v>
      </c>
      <c r="D14" s="5" t="s">
        <v>12</v>
      </c>
      <c r="E14" s="7">
        <v>10000000</v>
      </c>
      <c r="F14" s="7">
        <f t="shared" si="1"/>
        <v>10000000</v>
      </c>
      <c r="G14" s="7">
        <v>1000000</v>
      </c>
      <c r="H14" s="5">
        <v>10</v>
      </c>
      <c r="I14" s="7">
        <f t="shared" si="0"/>
        <v>900000</v>
      </c>
    </row>
    <row r="15" spans="1:9" x14ac:dyDescent="0.3">
      <c r="A15" s="5">
        <v>14</v>
      </c>
      <c r="B15" s="6" t="s">
        <v>79</v>
      </c>
      <c r="C15" s="5">
        <v>2</v>
      </c>
      <c r="D15" s="5" t="s">
        <v>12</v>
      </c>
      <c r="E15" s="7">
        <v>10000000</v>
      </c>
      <c r="F15" s="7">
        <f t="shared" si="1"/>
        <v>20000000</v>
      </c>
      <c r="G15" s="7">
        <v>1000000</v>
      </c>
      <c r="H15" s="5">
        <v>5</v>
      </c>
      <c r="I15" s="7">
        <f t="shared" si="0"/>
        <v>3800000</v>
      </c>
    </row>
    <row r="16" spans="1:9" x14ac:dyDescent="0.3">
      <c r="A16" s="5">
        <v>15</v>
      </c>
      <c r="B16" s="6" t="s">
        <v>80</v>
      </c>
      <c r="C16" s="5">
        <v>4</v>
      </c>
      <c r="D16" s="5" t="s">
        <v>12</v>
      </c>
      <c r="E16" s="7">
        <v>8000000</v>
      </c>
      <c r="F16" s="7">
        <f t="shared" si="1"/>
        <v>32000000</v>
      </c>
      <c r="G16" s="7">
        <v>1000000</v>
      </c>
      <c r="H16" s="5">
        <v>5</v>
      </c>
      <c r="I16" s="7">
        <f t="shared" si="0"/>
        <v>6200000</v>
      </c>
    </row>
    <row r="17" spans="1:15" x14ac:dyDescent="0.3">
      <c r="A17" s="5">
        <v>16</v>
      </c>
      <c r="B17" s="6" t="s">
        <v>81</v>
      </c>
      <c r="C17" s="8">
        <v>4</v>
      </c>
      <c r="D17" s="8" t="s">
        <v>12</v>
      </c>
      <c r="E17" s="9">
        <v>300000</v>
      </c>
      <c r="F17" s="9">
        <f t="shared" si="1"/>
        <v>1200000</v>
      </c>
      <c r="G17" s="7">
        <v>50000</v>
      </c>
      <c r="H17" s="8">
        <v>2</v>
      </c>
      <c r="I17" s="7">
        <f t="shared" si="0"/>
        <v>575000</v>
      </c>
    </row>
    <row r="18" spans="1:15" x14ac:dyDescent="0.3">
      <c r="A18" s="5">
        <v>17</v>
      </c>
      <c r="B18" s="6" t="s">
        <v>82</v>
      </c>
      <c r="C18" s="5">
        <v>2</v>
      </c>
      <c r="D18" s="5" t="s">
        <v>12</v>
      </c>
      <c r="E18" s="7">
        <v>500000</v>
      </c>
      <c r="F18" s="7">
        <f t="shared" si="1"/>
        <v>1000000</v>
      </c>
      <c r="G18" s="7">
        <v>25000</v>
      </c>
      <c r="H18" s="5">
        <v>3</v>
      </c>
      <c r="I18" s="7">
        <f t="shared" si="0"/>
        <v>325000</v>
      </c>
    </row>
    <row r="19" spans="1:15" x14ac:dyDescent="0.3">
      <c r="A19" s="5">
        <v>18</v>
      </c>
      <c r="B19" s="6" t="s">
        <v>83</v>
      </c>
      <c r="C19" s="5">
        <v>1</v>
      </c>
      <c r="D19" s="5" t="s">
        <v>12</v>
      </c>
      <c r="E19" s="7">
        <v>500000</v>
      </c>
      <c r="F19" s="7">
        <f t="shared" si="1"/>
        <v>500000</v>
      </c>
      <c r="G19" s="7">
        <v>100000</v>
      </c>
      <c r="H19" s="5">
        <v>3</v>
      </c>
      <c r="I19" s="7">
        <f t="shared" si="0"/>
        <v>133333.33333333334</v>
      </c>
    </row>
    <row r="20" spans="1:15" x14ac:dyDescent="0.3">
      <c r="A20" s="5">
        <v>19</v>
      </c>
      <c r="B20" s="6" t="s">
        <v>84</v>
      </c>
      <c r="C20" s="8">
        <v>10</v>
      </c>
      <c r="D20" s="5" t="s">
        <v>12</v>
      </c>
      <c r="E20" s="9">
        <v>150000</v>
      </c>
      <c r="F20" s="9">
        <f t="shared" si="1"/>
        <v>1500000</v>
      </c>
      <c r="G20" s="7">
        <f>10000*C20</f>
        <v>100000</v>
      </c>
      <c r="H20" s="8">
        <v>3</v>
      </c>
      <c r="I20" s="7">
        <f t="shared" si="0"/>
        <v>466666.66666666669</v>
      </c>
    </row>
    <row r="21" spans="1:15" x14ac:dyDescent="0.3">
      <c r="A21" s="5">
        <v>20</v>
      </c>
      <c r="B21" s="6" t="s">
        <v>85</v>
      </c>
      <c r="C21" s="8">
        <v>2</v>
      </c>
      <c r="D21" s="5" t="s">
        <v>12</v>
      </c>
      <c r="E21" s="9">
        <v>25000000</v>
      </c>
      <c r="F21" s="9">
        <f t="shared" si="1"/>
        <v>50000000</v>
      </c>
      <c r="G21" s="7">
        <v>7000000</v>
      </c>
      <c r="H21" s="8">
        <v>10</v>
      </c>
      <c r="I21" s="7">
        <f t="shared" si="0"/>
        <v>4300000</v>
      </c>
    </row>
    <row r="22" spans="1:15" x14ac:dyDescent="0.3">
      <c r="A22" s="5">
        <v>21</v>
      </c>
      <c r="B22" s="6" t="s">
        <v>86</v>
      </c>
      <c r="C22" s="5">
        <v>1</v>
      </c>
      <c r="D22" s="5" t="s">
        <v>12</v>
      </c>
      <c r="E22" s="7">
        <v>235000000</v>
      </c>
      <c r="F22" s="7">
        <f t="shared" si="1"/>
        <v>235000000</v>
      </c>
      <c r="G22" s="7">
        <v>50000000</v>
      </c>
      <c r="H22" s="5">
        <v>10</v>
      </c>
      <c r="I22" s="7">
        <f t="shared" si="0"/>
        <v>18500000</v>
      </c>
    </row>
    <row r="23" spans="1:15" x14ac:dyDescent="0.3">
      <c r="A23" s="5">
        <v>22</v>
      </c>
      <c r="B23" s="6" t="s">
        <v>13</v>
      </c>
      <c r="C23" s="5">
        <v>1</v>
      </c>
      <c r="D23" s="5" t="s">
        <v>12</v>
      </c>
      <c r="E23" s="7">
        <v>800000</v>
      </c>
      <c r="F23" s="7">
        <f t="shared" si="1"/>
        <v>800000</v>
      </c>
      <c r="G23" s="7">
        <v>50000</v>
      </c>
      <c r="H23" s="5">
        <v>5</v>
      </c>
      <c r="I23" s="7">
        <f t="shared" si="0"/>
        <v>150000</v>
      </c>
    </row>
    <row r="24" spans="1:15" x14ac:dyDescent="0.3">
      <c r="A24" s="5">
        <v>23</v>
      </c>
      <c r="B24" s="6" t="s">
        <v>190</v>
      </c>
      <c r="C24" s="81">
        <v>21900</v>
      </c>
      <c r="D24" s="5" t="s">
        <v>89</v>
      </c>
      <c r="E24" s="7">
        <f>C24*10000</f>
        <v>219000000</v>
      </c>
      <c r="F24" s="7">
        <f>E24</f>
        <v>219000000</v>
      </c>
      <c r="G24" s="7">
        <f>F24/H24</f>
        <v>21900000</v>
      </c>
      <c r="H24" s="5">
        <v>10</v>
      </c>
      <c r="I24" s="7">
        <f t="shared" si="0"/>
        <v>19710000</v>
      </c>
    </row>
    <row r="25" spans="1:15" ht="28.2" x14ac:dyDescent="0.3">
      <c r="A25" s="5">
        <v>24</v>
      </c>
      <c r="B25" s="6" t="s">
        <v>87</v>
      </c>
      <c r="C25" s="5">
        <v>1</v>
      </c>
      <c r="D25" s="5" t="s">
        <v>12</v>
      </c>
      <c r="E25" s="7">
        <v>125000000</v>
      </c>
      <c r="F25" s="7">
        <f t="shared" si="1"/>
        <v>125000000</v>
      </c>
      <c r="G25" s="7">
        <v>15000000</v>
      </c>
      <c r="H25" s="5">
        <v>10</v>
      </c>
      <c r="I25" s="7">
        <f t="shared" si="0"/>
        <v>11000000</v>
      </c>
    </row>
    <row r="26" spans="1:15" ht="15" thickBot="1" x14ac:dyDescent="0.35">
      <c r="A26" s="142" t="s">
        <v>2</v>
      </c>
      <c r="B26" s="142"/>
      <c r="C26" s="142"/>
      <c r="D26" s="142"/>
      <c r="E26" s="142"/>
      <c r="F26" s="11">
        <f>SUM(F2:F25)</f>
        <v>2765500000</v>
      </c>
      <c r="G26" s="11">
        <f>SUM(G2:G25)</f>
        <v>185725000</v>
      </c>
      <c r="H26" s="12"/>
      <c r="I26" s="11">
        <f>SUM(I2:I25)</f>
        <v>277860000</v>
      </c>
    </row>
    <row r="30" spans="1:15" ht="15" thickBot="1" x14ac:dyDescent="0.35">
      <c r="A30" s="143" t="s">
        <v>14</v>
      </c>
      <c r="B30" s="143"/>
      <c r="C30" s="143"/>
      <c r="D30" s="143"/>
      <c r="E30" s="143"/>
      <c r="F30" s="143"/>
      <c r="G30" s="143"/>
      <c r="H30" s="143"/>
      <c r="O30" t="s">
        <v>191</v>
      </c>
    </row>
    <row r="31" spans="1:15" ht="15" thickBot="1" x14ac:dyDescent="0.35">
      <c r="A31" s="3" t="s">
        <v>1</v>
      </c>
      <c r="B31" s="3" t="s">
        <v>3</v>
      </c>
      <c r="C31" s="3" t="s">
        <v>4</v>
      </c>
      <c r="D31" s="4" t="s">
        <v>15</v>
      </c>
      <c r="E31" s="4" t="s">
        <v>16</v>
      </c>
      <c r="F31" s="4" t="s">
        <v>17</v>
      </c>
      <c r="G31" s="144" t="s">
        <v>18</v>
      </c>
      <c r="H31" s="144"/>
      <c r="O31" s="57">
        <f>G41+F64</f>
        <v>4848549912</v>
      </c>
    </row>
    <row r="32" spans="1:15" x14ac:dyDescent="0.3">
      <c r="A32" s="8">
        <v>1</v>
      </c>
      <c r="B32" s="37" t="s">
        <v>88</v>
      </c>
      <c r="C32" s="160">
        <v>2.19</v>
      </c>
      <c r="D32" s="1" t="s">
        <v>89</v>
      </c>
      <c r="E32" s="38">
        <v>1000000</v>
      </c>
      <c r="F32" s="38">
        <f>E32*C32</f>
        <v>2190000</v>
      </c>
      <c r="G32" s="151">
        <f>F32*12</f>
        <v>26280000</v>
      </c>
      <c r="H32" s="152"/>
    </row>
    <row r="33" spans="1:17" x14ac:dyDescent="0.3">
      <c r="A33" s="8">
        <v>2</v>
      </c>
      <c r="B33" s="6" t="s">
        <v>9</v>
      </c>
      <c r="C33" s="8" t="s">
        <v>0</v>
      </c>
      <c r="D33" s="8" t="s">
        <v>0</v>
      </c>
      <c r="E33" s="13" t="s">
        <v>0</v>
      </c>
      <c r="F33" s="9">
        <f>G33/12</f>
        <v>23155000</v>
      </c>
      <c r="G33" s="145">
        <f>I26</f>
        <v>277860000</v>
      </c>
      <c r="H33" s="145"/>
    </row>
    <row r="34" spans="1:17" x14ac:dyDescent="0.3">
      <c r="A34" s="8">
        <v>3</v>
      </c>
      <c r="B34" s="2" t="s">
        <v>20</v>
      </c>
      <c r="C34" s="5">
        <v>470.12</v>
      </c>
      <c r="D34" s="5" t="s">
        <v>21</v>
      </c>
      <c r="E34" s="7">
        <f>F34/30</f>
        <v>23333.333333333332</v>
      </c>
      <c r="F34" s="7">
        <v>700000</v>
      </c>
      <c r="G34" s="146">
        <f>F34*12</f>
        <v>8400000</v>
      </c>
      <c r="H34" s="146"/>
      <c r="O34" t="s">
        <v>192</v>
      </c>
    </row>
    <row r="35" spans="1:17" x14ac:dyDescent="0.3">
      <c r="A35" s="8">
        <v>4</v>
      </c>
      <c r="B35" s="2" t="s">
        <v>93</v>
      </c>
      <c r="C35" s="5">
        <v>1</v>
      </c>
      <c r="D35" s="5" t="s">
        <v>19</v>
      </c>
      <c r="E35" s="7">
        <v>2500000</v>
      </c>
      <c r="F35" s="7">
        <f>E35</f>
        <v>2500000</v>
      </c>
      <c r="G35" s="146">
        <f>F35*12</f>
        <v>30000000</v>
      </c>
      <c r="H35" s="146"/>
      <c r="O35" s="57">
        <f>F75-O31</f>
        <v>1765950488</v>
      </c>
    </row>
    <row r="36" spans="1:17" x14ac:dyDescent="0.3">
      <c r="A36" s="8">
        <v>5</v>
      </c>
      <c r="B36" s="2" t="s">
        <v>90</v>
      </c>
      <c r="C36" s="5">
        <v>1</v>
      </c>
      <c r="D36" s="5" t="s">
        <v>19</v>
      </c>
      <c r="E36" s="7">
        <v>7000000</v>
      </c>
      <c r="F36" s="7">
        <f>E36</f>
        <v>7000000</v>
      </c>
      <c r="G36" s="146">
        <f t="shared" ref="G36:G40" si="2">F36*12</f>
        <v>84000000</v>
      </c>
      <c r="H36" s="146"/>
      <c r="I36" s="57"/>
    </row>
    <row r="37" spans="1:17" x14ac:dyDescent="0.3">
      <c r="A37" s="8">
        <v>6</v>
      </c>
      <c r="B37" s="2" t="s">
        <v>91</v>
      </c>
      <c r="C37" s="5">
        <v>2</v>
      </c>
      <c r="D37" s="5" t="s">
        <v>19</v>
      </c>
      <c r="E37" s="7">
        <v>4500000</v>
      </c>
      <c r="F37" s="7">
        <f>E37*C37</f>
        <v>9000000</v>
      </c>
      <c r="G37" s="146">
        <f t="shared" si="2"/>
        <v>108000000</v>
      </c>
      <c r="H37" s="146"/>
      <c r="I37" s="57"/>
    </row>
    <row r="38" spans="1:17" x14ac:dyDescent="0.3">
      <c r="A38" s="8">
        <v>7</v>
      </c>
      <c r="B38" s="2" t="s">
        <v>92</v>
      </c>
      <c r="C38" s="5">
        <v>8</v>
      </c>
      <c r="D38" s="5" t="s">
        <v>19</v>
      </c>
      <c r="E38" s="7">
        <v>2500000</v>
      </c>
      <c r="F38" s="7">
        <f>E38*C38</f>
        <v>20000000</v>
      </c>
      <c r="G38" s="146">
        <f t="shared" si="2"/>
        <v>240000000</v>
      </c>
      <c r="H38" s="146"/>
      <c r="I38" s="57"/>
      <c r="O38" s="54" t="s">
        <v>252</v>
      </c>
    </row>
    <row r="39" spans="1:17" x14ac:dyDescent="0.3">
      <c r="A39" s="8">
        <v>8</v>
      </c>
      <c r="B39" s="2" t="s">
        <v>189</v>
      </c>
      <c r="C39" s="5">
        <v>2</v>
      </c>
      <c r="D39" s="5" t="s">
        <v>19</v>
      </c>
      <c r="E39" s="7">
        <v>1500000</v>
      </c>
      <c r="F39" s="7">
        <v>1500000</v>
      </c>
      <c r="G39" s="146">
        <f>F39*12</f>
        <v>18000000</v>
      </c>
      <c r="H39" s="146"/>
      <c r="I39" s="57"/>
      <c r="O39" s="57">
        <f>G41/Q43</f>
        <v>42146.956343513019</v>
      </c>
      <c r="Q39" s="58">
        <f>F64/(SUM(C70:D73))</f>
        <v>82882.345074626865</v>
      </c>
    </row>
    <row r="40" spans="1:17" x14ac:dyDescent="0.3">
      <c r="A40" s="8">
        <v>9</v>
      </c>
      <c r="B40" s="2" t="s">
        <v>94</v>
      </c>
      <c r="C40" s="5">
        <v>1</v>
      </c>
      <c r="D40" s="5" t="s">
        <v>19</v>
      </c>
      <c r="E40" s="7">
        <v>2500000</v>
      </c>
      <c r="F40" s="7">
        <f>E40</f>
        <v>2500000</v>
      </c>
      <c r="G40" s="146">
        <f t="shared" si="2"/>
        <v>30000000</v>
      </c>
      <c r="H40" s="146"/>
      <c r="Q40" s="57">
        <f>AVERAGE(E70:E73)</f>
        <v>62387.5</v>
      </c>
    </row>
    <row r="41" spans="1:17" ht="15" thickBot="1" x14ac:dyDescent="0.35">
      <c r="A41" s="142" t="s">
        <v>2</v>
      </c>
      <c r="B41" s="142"/>
      <c r="C41" s="142"/>
      <c r="D41" s="142"/>
      <c r="E41" s="142"/>
      <c r="F41" s="11">
        <f>SUM(F32:F40)</f>
        <v>68545000</v>
      </c>
      <c r="G41" s="147">
        <f>SUM(G32:H40)</f>
        <v>822540000</v>
      </c>
      <c r="H41" s="148"/>
    </row>
    <row r="42" spans="1:17" x14ac:dyDescent="0.3">
      <c r="O42" t="s">
        <v>253</v>
      </c>
      <c r="Q42" s="58">
        <f>Q39-Q40</f>
        <v>20494.845074626865</v>
      </c>
    </row>
    <row r="43" spans="1:17" x14ac:dyDescent="0.3">
      <c r="O43" s="54">
        <f>F75/O31</f>
        <v>1.3642224005221295</v>
      </c>
      <c r="Q43">
        <v>19516</v>
      </c>
    </row>
    <row r="45" spans="1:17" ht="15" thickBot="1" x14ac:dyDescent="0.35">
      <c r="A45" s="143" t="s">
        <v>22</v>
      </c>
      <c r="B45" s="143"/>
      <c r="C45" s="143"/>
      <c r="D45" s="143"/>
      <c r="E45" s="143"/>
      <c r="F45" s="143"/>
      <c r="G45" s="143"/>
      <c r="H45" s="79"/>
    </row>
    <row r="46" spans="1:17" ht="15" thickBot="1" x14ac:dyDescent="0.35">
      <c r="A46" s="14" t="s">
        <v>1</v>
      </c>
      <c r="B46" s="14" t="s">
        <v>3</v>
      </c>
      <c r="C46" s="14" t="s">
        <v>4</v>
      </c>
      <c r="D46" s="14" t="s">
        <v>5</v>
      </c>
      <c r="E46" s="15" t="s">
        <v>24</v>
      </c>
      <c r="F46" s="149" t="s">
        <v>25</v>
      </c>
      <c r="G46" s="149"/>
      <c r="O46" t="s">
        <v>254</v>
      </c>
      <c r="Q46">
        <f>F64/F75</f>
        <v>0.60866424802090868</v>
      </c>
    </row>
    <row r="47" spans="1:17" x14ac:dyDescent="0.3">
      <c r="A47" s="5">
        <v>1</v>
      </c>
      <c r="B47" s="2" t="s">
        <v>104</v>
      </c>
      <c r="C47" s="5">
        <v>2520000</v>
      </c>
      <c r="D47" s="5" t="s">
        <v>106</v>
      </c>
      <c r="E47" s="7">
        <v>72</v>
      </c>
      <c r="F47" s="146">
        <f>C47*E47</f>
        <v>181440000</v>
      </c>
      <c r="G47" s="146"/>
      <c r="O47" s="57">
        <f>G41/Q47</f>
        <v>2101877980.3281238</v>
      </c>
      <c r="Q47">
        <f>1-Q46</f>
        <v>0.39133575197909132</v>
      </c>
    </row>
    <row r="48" spans="1:17" x14ac:dyDescent="0.3">
      <c r="A48" s="5">
        <v>2</v>
      </c>
      <c r="B48" s="2" t="s">
        <v>105</v>
      </c>
      <c r="C48" s="5">
        <v>65646</v>
      </c>
      <c r="D48" s="5" t="s">
        <v>26</v>
      </c>
      <c r="E48" s="7">
        <v>18000</v>
      </c>
      <c r="F48" s="146">
        <f>C48*E48</f>
        <v>1181628000</v>
      </c>
      <c r="G48" s="146"/>
      <c r="I48" s="57"/>
    </row>
    <row r="49" spans="1:17" x14ac:dyDescent="0.3">
      <c r="A49" s="5">
        <v>3</v>
      </c>
      <c r="B49" s="2" t="s">
        <v>95</v>
      </c>
      <c r="C49" s="5">
        <v>20</v>
      </c>
      <c r="D49" s="5" t="s">
        <v>26</v>
      </c>
      <c r="E49" s="7">
        <v>5000</v>
      </c>
      <c r="F49" s="146">
        <f>C49*E49</f>
        <v>100000</v>
      </c>
      <c r="G49" s="146"/>
      <c r="I49" s="57">
        <f>F64+G41</f>
        <v>4848549912</v>
      </c>
      <c r="Q49" s="58">
        <f>G41/Q47</f>
        <v>2101877980.3281238</v>
      </c>
    </row>
    <row r="50" spans="1:17" x14ac:dyDescent="0.3">
      <c r="A50" s="5">
        <v>4</v>
      </c>
      <c r="B50" s="2" t="s">
        <v>96</v>
      </c>
      <c r="C50" s="5">
        <v>5</v>
      </c>
      <c r="D50" s="5" t="s">
        <v>107</v>
      </c>
      <c r="E50" s="7">
        <v>77000</v>
      </c>
      <c r="F50" s="146">
        <f>C50*E50</f>
        <v>385000</v>
      </c>
      <c r="G50" s="146"/>
      <c r="I50" s="58"/>
      <c r="O50" t="s">
        <v>255</v>
      </c>
    </row>
    <row r="51" spans="1:17" x14ac:dyDescent="0.3">
      <c r="A51" s="5">
        <v>5</v>
      </c>
      <c r="B51" s="2" t="s">
        <v>97</v>
      </c>
      <c r="C51" s="5">
        <v>5</v>
      </c>
      <c r="D51" s="5" t="s">
        <v>107</v>
      </c>
      <c r="E51" s="7">
        <v>120000</v>
      </c>
      <c r="F51" s="146">
        <f>C51*E51</f>
        <v>600000</v>
      </c>
      <c r="G51" s="146"/>
      <c r="I51" s="78"/>
      <c r="O51">
        <f>F26/O35</f>
        <v>1.5660121950146091</v>
      </c>
    </row>
    <row r="52" spans="1:17" x14ac:dyDescent="0.3">
      <c r="A52" s="5">
        <v>6</v>
      </c>
      <c r="B52" s="2" t="s">
        <v>98</v>
      </c>
      <c r="C52" s="5">
        <v>5</v>
      </c>
      <c r="D52" s="5" t="s">
        <v>107</v>
      </c>
      <c r="E52" s="7">
        <v>51000</v>
      </c>
      <c r="F52" s="146">
        <f t="shared" ref="F52:F62" si="3">C52*E52</f>
        <v>255000</v>
      </c>
      <c r="G52" s="146"/>
      <c r="I52" s="58">
        <f>O58-62400</f>
        <v>20482.345074626865</v>
      </c>
    </row>
    <row r="53" spans="1:17" x14ac:dyDescent="0.3">
      <c r="A53" s="5">
        <v>7</v>
      </c>
      <c r="B53" s="2" t="s">
        <v>99</v>
      </c>
      <c r="C53" s="5">
        <v>1</v>
      </c>
      <c r="D53" s="5" t="s">
        <v>107</v>
      </c>
      <c r="E53" s="7">
        <v>500000</v>
      </c>
      <c r="F53" s="146">
        <f t="shared" si="3"/>
        <v>500000</v>
      </c>
      <c r="G53" s="146"/>
    </row>
    <row r="54" spans="1:17" x14ac:dyDescent="0.3">
      <c r="A54" s="5">
        <v>8</v>
      </c>
      <c r="B54" s="2" t="s">
        <v>100</v>
      </c>
      <c r="C54" s="5">
        <v>5</v>
      </c>
      <c r="D54" s="5" t="s">
        <v>26</v>
      </c>
      <c r="E54" s="7">
        <v>10000</v>
      </c>
      <c r="F54" s="146">
        <f t="shared" si="3"/>
        <v>50000</v>
      </c>
      <c r="G54" s="146"/>
    </row>
    <row r="55" spans="1:17" x14ac:dyDescent="0.3">
      <c r="A55" s="5">
        <v>9</v>
      </c>
      <c r="B55" s="2" t="s">
        <v>101</v>
      </c>
      <c r="C55" s="5">
        <v>20</v>
      </c>
      <c r="D55" s="5" t="s">
        <v>26</v>
      </c>
      <c r="E55" s="7">
        <v>15000</v>
      </c>
      <c r="F55" s="146">
        <f t="shared" si="3"/>
        <v>300000</v>
      </c>
      <c r="G55" s="146"/>
      <c r="I55" s="57">
        <f>G41/I52</f>
        <v>40158.487565906049</v>
      </c>
      <c r="O55" s="58"/>
    </row>
    <row r="56" spans="1:17" x14ac:dyDescent="0.3">
      <c r="A56" s="5">
        <v>10</v>
      </c>
      <c r="B56" s="2" t="s">
        <v>102</v>
      </c>
      <c r="C56" s="5">
        <v>1</v>
      </c>
      <c r="D56" s="5" t="s">
        <v>107</v>
      </c>
      <c r="E56" s="7">
        <v>10000</v>
      </c>
      <c r="F56" s="146">
        <f t="shared" si="3"/>
        <v>10000</v>
      </c>
      <c r="G56" s="146"/>
      <c r="I56" s="57"/>
    </row>
    <row r="57" spans="1:17" x14ac:dyDescent="0.3">
      <c r="A57" s="5">
        <v>11</v>
      </c>
      <c r="B57" s="2" t="s">
        <v>103</v>
      </c>
      <c r="C57" s="5">
        <v>1</v>
      </c>
      <c r="D57" s="5" t="s">
        <v>107</v>
      </c>
      <c r="E57" s="7">
        <v>7000</v>
      </c>
      <c r="F57" s="146">
        <f t="shared" si="3"/>
        <v>7000</v>
      </c>
      <c r="G57" s="146"/>
    </row>
    <row r="58" spans="1:17" x14ac:dyDescent="0.3">
      <c r="A58" s="5">
        <v>12</v>
      </c>
      <c r="B58" s="2" t="s">
        <v>20</v>
      </c>
      <c r="C58" s="5">
        <v>226849</v>
      </c>
      <c r="D58" s="5" t="s">
        <v>21</v>
      </c>
      <c r="E58" s="7">
        <v>1444</v>
      </c>
      <c r="F58" s="146">
        <f>C58*E58</f>
        <v>327569956</v>
      </c>
      <c r="G58" s="146"/>
      <c r="O58" s="58">
        <f>F64/(SUM(C70:D73))</f>
        <v>82882.345074626865</v>
      </c>
    </row>
    <row r="59" spans="1:17" x14ac:dyDescent="0.3">
      <c r="A59" s="5">
        <v>13</v>
      </c>
      <c r="B59" s="2" t="s">
        <v>108</v>
      </c>
      <c r="C59" s="5">
        <v>8</v>
      </c>
      <c r="D59" s="5" t="s">
        <v>19</v>
      </c>
      <c r="E59" s="7">
        <v>10000000</v>
      </c>
      <c r="F59" s="146">
        <f>C59*E59</f>
        <v>80000000</v>
      </c>
      <c r="G59" s="146"/>
    </row>
    <row r="60" spans="1:17" x14ac:dyDescent="0.3">
      <c r="A60" s="5">
        <v>14</v>
      </c>
      <c r="B60" s="2" t="s">
        <v>167</v>
      </c>
      <c r="C60" s="5">
        <v>2</v>
      </c>
      <c r="D60" s="5" t="s">
        <v>19</v>
      </c>
      <c r="E60" s="7">
        <v>60000000</v>
      </c>
      <c r="F60" s="146">
        <f>C60*E60</f>
        <v>120000000</v>
      </c>
      <c r="G60" s="146"/>
      <c r="I60" s="58"/>
      <c r="J60">
        <v>12155</v>
      </c>
    </row>
    <row r="61" spans="1:17" x14ac:dyDescent="0.3">
      <c r="A61" s="5">
        <v>15</v>
      </c>
      <c r="B61" s="2" t="s">
        <v>168</v>
      </c>
      <c r="C61" s="5">
        <v>1</v>
      </c>
      <c r="D61" s="5" t="s">
        <v>19</v>
      </c>
      <c r="E61" s="7">
        <v>120000000</v>
      </c>
      <c r="F61" s="146">
        <f>C61*E61</f>
        <v>120000000</v>
      </c>
      <c r="G61" s="146"/>
      <c r="J61">
        <v>9490</v>
      </c>
    </row>
    <row r="62" spans="1:17" ht="15" thickBot="1" x14ac:dyDescent="0.35">
      <c r="A62" s="5">
        <v>14</v>
      </c>
      <c r="B62" s="16" t="s">
        <v>27</v>
      </c>
      <c r="C62" s="10">
        <v>8</v>
      </c>
      <c r="D62" s="10" t="s">
        <v>28</v>
      </c>
      <c r="E62" s="11">
        <v>20000</v>
      </c>
      <c r="F62" s="147">
        <f t="shared" si="3"/>
        <v>160000</v>
      </c>
      <c r="G62" s="147"/>
      <c r="J62">
        <v>8580</v>
      </c>
    </row>
    <row r="63" spans="1:17" ht="15" thickBot="1" x14ac:dyDescent="0.35">
      <c r="A63" s="142" t="s">
        <v>109</v>
      </c>
      <c r="B63" s="142"/>
      <c r="C63" s="142"/>
      <c r="D63" s="142"/>
      <c r="E63" s="142"/>
      <c r="F63" s="150">
        <f>SUM(F47:G62)</f>
        <v>2013004956</v>
      </c>
      <c r="G63" s="150"/>
      <c r="H63" s="2"/>
      <c r="J63">
        <v>18350</v>
      </c>
    </row>
    <row r="64" spans="1:17" ht="15" thickBot="1" x14ac:dyDescent="0.35">
      <c r="A64" s="149" t="s">
        <v>29</v>
      </c>
      <c r="B64" s="149"/>
      <c r="C64" s="149"/>
      <c r="D64" s="149"/>
      <c r="E64" s="149"/>
      <c r="F64" s="150">
        <f>F63*2</f>
        <v>4026009912</v>
      </c>
      <c r="G64" s="150"/>
      <c r="H64" s="2"/>
      <c r="J64">
        <f>SUM(J60:J63)</f>
        <v>48575</v>
      </c>
    </row>
    <row r="65" spans="2:9" x14ac:dyDescent="0.3">
      <c r="I65" s="58">
        <f>F64/J64</f>
        <v>82882.345074626865</v>
      </c>
    </row>
    <row r="67" spans="2:9" x14ac:dyDescent="0.3">
      <c r="I67" s="58"/>
    </row>
    <row r="68" spans="2:9" ht="15" thickBot="1" x14ac:dyDescent="0.35">
      <c r="B68" s="143" t="s">
        <v>30</v>
      </c>
      <c r="C68" s="143"/>
      <c r="D68" s="143"/>
      <c r="E68" s="143"/>
      <c r="F68" s="143"/>
      <c r="I68" s="80"/>
    </row>
    <row r="69" spans="2:9" x14ac:dyDescent="0.3">
      <c r="B69" s="8" t="s">
        <v>23</v>
      </c>
      <c r="C69" s="137" t="s">
        <v>111</v>
      </c>
      <c r="D69" s="137"/>
      <c r="E69" s="1" t="s">
        <v>112</v>
      </c>
      <c r="F69" s="8" t="s">
        <v>31</v>
      </c>
    </row>
    <row r="70" spans="2:9" x14ac:dyDescent="0.3">
      <c r="B70" s="8" t="s">
        <v>110</v>
      </c>
      <c r="C70" s="112">
        <v>12155</v>
      </c>
      <c r="D70" s="137"/>
      <c r="E70" s="40">
        <v>56300</v>
      </c>
      <c r="F70" s="9">
        <f>E70*C70</f>
        <v>684326500</v>
      </c>
      <c r="I70" s="57">
        <f>AVERAGE(E70:E73)</f>
        <v>62387.5</v>
      </c>
    </row>
    <row r="71" spans="2:9" x14ac:dyDescent="0.3">
      <c r="B71" s="5" t="s">
        <v>114</v>
      </c>
      <c r="C71" s="112">
        <v>9490</v>
      </c>
      <c r="D71" s="137"/>
      <c r="E71" s="39">
        <v>60250</v>
      </c>
      <c r="F71" s="7">
        <f>E71*C71</f>
        <v>571772500</v>
      </c>
    </row>
    <row r="72" spans="2:9" x14ac:dyDescent="0.3">
      <c r="B72" s="5" t="s">
        <v>113</v>
      </c>
      <c r="C72" s="112">
        <v>8580</v>
      </c>
      <c r="D72" s="112"/>
      <c r="E72" s="39">
        <v>65500</v>
      </c>
      <c r="F72" s="7">
        <f>C72*E72</f>
        <v>561990000</v>
      </c>
    </row>
    <row r="73" spans="2:9" x14ac:dyDescent="0.3">
      <c r="B73" s="5" t="s">
        <v>115</v>
      </c>
      <c r="C73" s="111">
        <v>18350</v>
      </c>
      <c r="D73" s="132"/>
      <c r="E73" s="39">
        <v>67500</v>
      </c>
      <c r="F73" s="7">
        <v>1489161200.0000002</v>
      </c>
      <c r="I73" s="58"/>
    </row>
    <row r="74" spans="2:9" ht="15" thickBot="1" x14ac:dyDescent="0.35">
      <c r="B74" s="143" t="s">
        <v>124</v>
      </c>
      <c r="C74" s="143"/>
      <c r="D74" s="143"/>
      <c r="E74" s="143"/>
      <c r="F74" s="18">
        <f>SUM(F70:F73)</f>
        <v>3307250200</v>
      </c>
    </row>
    <row r="75" spans="2:9" ht="15" thickBot="1" x14ac:dyDescent="0.35">
      <c r="B75" s="149" t="s">
        <v>32</v>
      </c>
      <c r="C75" s="149"/>
      <c r="D75" s="149"/>
      <c r="E75" s="149"/>
      <c r="F75" s="17">
        <f>F74*2</f>
        <v>6614500400</v>
      </c>
    </row>
  </sheetData>
  <mergeCells count="44">
    <mergeCell ref="G40:H40"/>
    <mergeCell ref="G32:H32"/>
    <mergeCell ref="G35:H35"/>
    <mergeCell ref="G36:H36"/>
    <mergeCell ref="G37:H37"/>
    <mergeCell ref="G38:H38"/>
    <mergeCell ref="G34:H34"/>
    <mergeCell ref="G39:H39"/>
    <mergeCell ref="B74:E74"/>
    <mergeCell ref="B75:E75"/>
    <mergeCell ref="B68:F68"/>
    <mergeCell ref="C69:D69"/>
    <mergeCell ref="C70:D70"/>
    <mergeCell ref="C71:D71"/>
    <mergeCell ref="C73:D73"/>
    <mergeCell ref="C72:D72"/>
    <mergeCell ref="A64:E64"/>
    <mergeCell ref="F64:G64"/>
    <mergeCell ref="F59:G59"/>
    <mergeCell ref="F60:G60"/>
    <mergeCell ref="F61:G61"/>
    <mergeCell ref="A63:E63"/>
    <mergeCell ref="F63:G63"/>
    <mergeCell ref="F55:G55"/>
    <mergeCell ref="F56:G56"/>
    <mergeCell ref="F57:G57"/>
    <mergeCell ref="F62:G62"/>
    <mergeCell ref="F58:G58"/>
    <mergeCell ref="A26:E26"/>
    <mergeCell ref="A30:H30"/>
    <mergeCell ref="G31:H31"/>
    <mergeCell ref="G33:H33"/>
    <mergeCell ref="F54:G54"/>
    <mergeCell ref="A41:E41"/>
    <mergeCell ref="G41:H41"/>
    <mergeCell ref="F46:G46"/>
    <mergeCell ref="F47:G47"/>
    <mergeCell ref="F48:G48"/>
    <mergeCell ref="F49:G49"/>
    <mergeCell ref="F50:G50"/>
    <mergeCell ref="F51:G51"/>
    <mergeCell ref="F52:G52"/>
    <mergeCell ref="F53:G53"/>
    <mergeCell ref="A45:G45"/>
  </mergeCells>
  <pageMargins left="0.7" right="0.7" top="0.75" bottom="0.75" header="0.3" footer="0.3"/>
  <ignoredErrors>
    <ignoredError sqref="F72 F2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E914-5DB8-488A-BF74-FD4E2DA52B1A}">
  <dimension ref="A1:CX232"/>
  <sheetViews>
    <sheetView topLeftCell="AJ1" zoomScale="43" zoomScaleNormal="130" workbookViewId="0">
      <selection activeCell="BB5" sqref="BB5:BB19"/>
    </sheetView>
  </sheetViews>
  <sheetFormatPr defaultRowHeight="13.8" x14ac:dyDescent="0.25"/>
  <cols>
    <col min="1" max="1" width="6.77734375" style="5" customWidth="1"/>
    <col min="2" max="2" width="13.44140625" style="5" customWidth="1"/>
    <col min="3" max="3" width="11.44140625" style="5" customWidth="1"/>
    <col min="4" max="28" width="8.88671875" style="5"/>
    <col min="29" max="29" width="9.33203125" style="5" bestFit="1" customWidth="1"/>
    <col min="30" max="52" width="8.88671875" style="5"/>
    <col min="53" max="53" width="15.6640625" style="5" customWidth="1"/>
    <col min="54" max="54" width="10.21875" style="5" customWidth="1"/>
    <col min="55" max="79" width="8.88671875" style="5"/>
    <col min="80" max="80" width="10.6640625" style="5" bestFit="1" customWidth="1"/>
    <col min="81" max="91" width="8.88671875" style="5"/>
    <col min="92" max="93" width="8.88671875" style="5" customWidth="1"/>
    <col min="94" max="16384" width="8.88671875" style="5"/>
  </cols>
  <sheetData>
    <row r="1" spans="1:102" ht="21" x14ac:dyDescent="0.4">
      <c r="A1" s="154" t="s">
        <v>125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154"/>
    </row>
    <row r="2" spans="1:102" x14ac:dyDescent="0.25">
      <c r="A2" s="137" t="s">
        <v>1</v>
      </c>
      <c r="B2" s="137" t="s">
        <v>51</v>
      </c>
      <c r="C2" s="132" t="s">
        <v>119</v>
      </c>
      <c r="D2" s="132"/>
      <c r="E2" s="132"/>
      <c r="F2" s="132"/>
      <c r="G2" s="132"/>
      <c r="H2" s="132"/>
      <c r="I2" s="132"/>
      <c r="J2" s="132"/>
      <c r="K2" s="132"/>
      <c r="L2" s="132"/>
      <c r="M2" s="132" t="s">
        <v>120</v>
      </c>
      <c r="N2" s="132"/>
      <c r="O2" s="132"/>
      <c r="P2" s="132"/>
      <c r="Q2" s="132"/>
      <c r="R2" s="132"/>
      <c r="S2" s="132"/>
      <c r="T2" s="132"/>
      <c r="U2" s="132"/>
      <c r="V2" s="132"/>
      <c r="W2" s="132" t="s">
        <v>121</v>
      </c>
      <c r="X2" s="132"/>
      <c r="Y2" s="132"/>
      <c r="Z2" s="132"/>
      <c r="AA2" s="132"/>
      <c r="AB2" s="132"/>
      <c r="AC2" s="132"/>
      <c r="AD2" s="132"/>
      <c r="AE2" s="132"/>
      <c r="AF2" s="132"/>
      <c r="AG2" s="132" t="s">
        <v>122</v>
      </c>
      <c r="AH2" s="132"/>
      <c r="AI2" s="132"/>
      <c r="AJ2" s="132"/>
      <c r="AK2" s="132"/>
      <c r="AL2" s="132"/>
      <c r="AM2" s="132"/>
      <c r="AN2" s="132"/>
      <c r="AO2" s="132"/>
      <c r="AP2" s="132"/>
      <c r="AQ2" s="132" t="s">
        <v>123</v>
      </c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 t="s">
        <v>50</v>
      </c>
      <c r="BC2" s="132"/>
      <c r="BD2" s="132"/>
      <c r="BE2" s="132"/>
      <c r="BF2" s="132"/>
      <c r="BG2" s="132"/>
      <c r="BH2" s="132"/>
      <c r="BI2" s="132"/>
      <c r="BJ2" s="132"/>
      <c r="BK2" s="132"/>
      <c r="BL2" s="132" t="s">
        <v>49</v>
      </c>
      <c r="BM2" s="132"/>
      <c r="BN2" s="132"/>
      <c r="BO2" s="132"/>
      <c r="BP2" s="132"/>
      <c r="BQ2" s="132"/>
      <c r="BR2" s="132"/>
      <c r="BS2" s="132"/>
      <c r="BT2" s="132"/>
      <c r="BU2" s="132"/>
      <c r="BV2" s="132" t="s">
        <v>48</v>
      </c>
      <c r="BW2" s="132"/>
      <c r="BX2" s="132"/>
      <c r="BY2" s="132"/>
      <c r="BZ2" s="132"/>
      <c r="CA2" s="132"/>
      <c r="CB2" s="132"/>
      <c r="CC2" s="132"/>
      <c r="CD2" s="132"/>
      <c r="CE2" s="132"/>
      <c r="CF2" s="132" t="s">
        <v>47</v>
      </c>
      <c r="CG2" s="132"/>
      <c r="CH2" s="132"/>
      <c r="CI2" s="132"/>
      <c r="CJ2" s="132"/>
      <c r="CK2" s="132"/>
      <c r="CL2" s="132"/>
      <c r="CM2" s="132"/>
      <c r="CN2" s="132"/>
      <c r="CP2" s="132" t="s">
        <v>46</v>
      </c>
      <c r="CQ2" s="132"/>
      <c r="CR2" s="132"/>
      <c r="CS2" s="132"/>
      <c r="CT2" s="132"/>
      <c r="CU2" s="132"/>
      <c r="CV2" s="132"/>
      <c r="CW2" s="132"/>
      <c r="CX2" s="132"/>
    </row>
    <row r="3" spans="1:102" x14ac:dyDescent="0.25">
      <c r="A3" s="137"/>
      <c r="B3" s="137"/>
      <c r="C3" s="140" t="s">
        <v>34</v>
      </c>
      <c r="D3" s="132" t="s">
        <v>45</v>
      </c>
      <c r="E3" s="132"/>
      <c r="F3" s="132" t="s">
        <v>44</v>
      </c>
      <c r="G3" s="132"/>
      <c r="H3" s="132" t="s">
        <v>43</v>
      </c>
      <c r="I3" s="132"/>
      <c r="J3" s="137" t="s">
        <v>42</v>
      </c>
      <c r="K3" s="137" t="s">
        <v>41</v>
      </c>
      <c r="L3" s="8"/>
      <c r="M3" s="140" t="s">
        <v>34</v>
      </c>
      <c r="N3" s="132" t="s">
        <v>45</v>
      </c>
      <c r="O3" s="132"/>
      <c r="P3" s="132" t="s">
        <v>44</v>
      </c>
      <c r="Q3" s="132"/>
      <c r="R3" s="132" t="s">
        <v>43</v>
      </c>
      <c r="S3" s="132"/>
      <c r="T3" s="137" t="s">
        <v>42</v>
      </c>
      <c r="U3" s="137" t="s">
        <v>41</v>
      </c>
      <c r="W3" s="140" t="s">
        <v>34</v>
      </c>
      <c r="X3" s="132" t="s">
        <v>45</v>
      </c>
      <c r="Y3" s="132"/>
      <c r="Z3" s="132" t="s">
        <v>44</v>
      </c>
      <c r="AA3" s="132"/>
      <c r="AB3" s="132" t="s">
        <v>43</v>
      </c>
      <c r="AC3" s="132"/>
      <c r="AD3" s="137" t="s">
        <v>42</v>
      </c>
      <c r="AE3" s="137" t="s">
        <v>41</v>
      </c>
      <c r="AG3" s="140" t="s">
        <v>34</v>
      </c>
      <c r="AH3" s="132" t="s">
        <v>45</v>
      </c>
      <c r="AI3" s="132"/>
      <c r="AJ3" s="132" t="s">
        <v>44</v>
      </c>
      <c r="AK3" s="132"/>
      <c r="AL3" s="132" t="s">
        <v>43</v>
      </c>
      <c r="AM3" s="132"/>
      <c r="AN3" s="137" t="s">
        <v>42</v>
      </c>
      <c r="AO3" s="137" t="s">
        <v>41</v>
      </c>
      <c r="AQ3" s="140" t="s">
        <v>34</v>
      </c>
      <c r="AR3" s="132" t="s">
        <v>45</v>
      </c>
      <c r="AS3" s="132"/>
      <c r="AT3" s="132" t="s">
        <v>44</v>
      </c>
      <c r="AU3" s="132"/>
      <c r="AV3" s="132" t="s">
        <v>43</v>
      </c>
      <c r="AW3" s="132"/>
      <c r="AX3" s="137" t="s">
        <v>42</v>
      </c>
      <c r="AY3" s="137" t="s">
        <v>41</v>
      </c>
      <c r="AZ3" s="8"/>
      <c r="BB3" s="140" t="s">
        <v>34</v>
      </c>
      <c r="BC3" s="132" t="s">
        <v>45</v>
      </c>
      <c r="BD3" s="132"/>
      <c r="BE3" s="132" t="s">
        <v>44</v>
      </c>
      <c r="BF3" s="132"/>
      <c r="BG3" s="132" t="s">
        <v>43</v>
      </c>
      <c r="BH3" s="132"/>
      <c r="BI3" s="137" t="s">
        <v>42</v>
      </c>
      <c r="BJ3" s="137" t="s">
        <v>41</v>
      </c>
      <c r="BL3" s="140" t="s">
        <v>34</v>
      </c>
      <c r="BM3" s="132" t="s">
        <v>45</v>
      </c>
      <c r="BN3" s="132"/>
      <c r="BO3" s="132" t="s">
        <v>44</v>
      </c>
      <c r="BP3" s="132"/>
      <c r="BQ3" s="132" t="s">
        <v>43</v>
      </c>
      <c r="BR3" s="132"/>
      <c r="BS3" s="137" t="s">
        <v>42</v>
      </c>
      <c r="BT3" s="137" t="s">
        <v>41</v>
      </c>
      <c r="BV3" s="140" t="s">
        <v>34</v>
      </c>
      <c r="BW3" s="132" t="s">
        <v>45</v>
      </c>
      <c r="BX3" s="132"/>
      <c r="BY3" s="132" t="s">
        <v>44</v>
      </c>
      <c r="BZ3" s="132"/>
      <c r="CA3" s="132" t="s">
        <v>43</v>
      </c>
      <c r="CB3" s="132"/>
      <c r="CC3" s="137" t="s">
        <v>42</v>
      </c>
      <c r="CD3" s="137" t="s">
        <v>41</v>
      </c>
      <c r="CF3" s="140" t="s">
        <v>34</v>
      </c>
      <c r="CG3" s="132" t="s">
        <v>45</v>
      </c>
      <c r="CH3" s="132"/>
      <c r="CI3" s="132" t="s">
        <v>44</v>
      </c>
      <c r="CJ3" s="132"/>
      <c r="CK3" s="132" t="s">
        <v>43</v>
      </c>
      <c r="CL3" s="132"/>
      <c r="CM3" s="137" t="s">
        <v>42</v>
      </c>
      <c r="CN3" s="137" t="s">
        <v>41</v>
      </c>
      <c r="CO3" s="8"/>
      <c r="CP3" s="140" t="s">
        <v>34</v>
      </c>
      <c r="CQ3" s="132" t="s">
        <v>45</v>
      </c>
      <c r="CR3" s="132"/>
      <c r="CS3" s="132" t="s">
        <v>44</v>
      </c>
      <c r="CT3" s="132"/>
      <c r="CU3" s="132" t="s">
        <v>43</v>
      </c>
      <c r="CV3" s="132"/>
      <c r="CW3" s="137" t="s">
        <v>42</v>
      </c>
      <c r="CX3" s="137" t="s">
        <v>41</v>
      </c>
    </row>
    <row r="4" spans="1:102" x14ac:dyDescent="0.25">
      <c r="A4" s="137"/>
      <c r="B4" s="137"/>
      <c r="C4" s="140"/>
      <c r="D4" s="44">
        <v>0.25</v>
      </c>
      <c r="E4" s="45">
        <v>0.5625</v>
      </c>
      <c r="F4" s="44">
        <v>0.25</v>
      </c>
      <c r="G4" s="45">
        <v>0.5625</v>
      </c>
      <c r="H4" s="44">
        <v>0.25</v>
      </c>
      <c r="I4" s="45">
        <v>0.5625</v>
      </c>
      <c r="J4" s="137"/>
      <c r="K4" s="137"/>
      <c r="L4" s="8"/>
      <c r="M4" s="140"/>
      <c r="N4" s="44">
        <v>0.25</v>
      </c>
      <c r="O4" s="45">
        <v>0.5625</v>
      </c>
      <c r="P4" s="44">
        <v>0.25</v>
      </c>
      <c r="Q4" s="45">
        <v>0.5625</v>
      </c>
      <c r="R4" s="44">
        <v>0.25</v>
      </c>
      <c r="S4" s="45">
        <v>0.5625</v>
      </c>
      <c r="T4" s="137"/>
      <c r="U4" s="137"/>
      <c r="W4" s="140"/>
      <c r="X4" s="44">
        <v>0.25</v>
      </c>
      <c r="Y4" s="45">
        <v>0.5625</v>
      </c>
      <c r="Z4" s="44">
        <v>0.25</v>
      </c>
      <c r="AA4" s="45">
        <v>0.5625</v>
      </c>
      <c r="AB4" s="44">
        <v>0.25</v>
      </c>
      <c r="AC4" s="45">
        <v>0.5625</v>
      </c>
      <c r="AD4" s="137"/>
      <c r="AE4" s="137"/>
      <c r="AG4" s="140"/>
      <c r="AH4" s="44">
        <v>0.25</v>
      </c>
      <c r="AI4" s="45">
        <v>0.5625</v>
      </c>
      <c r="AJ4" s="44">
        <v>0.25</v>
      </c>
      <c r="AK4" s="45">
        <v>0.5625</v>
      </c>
      <c r="AL4" s="44">
        <v>0.25</v>
      </c>
      <c r="AM4" s="45">
        <v>0.5625</v>
      </c>
      <c r="AN4" s="137"/>
      <c r="AO4" s="137"/>
      <c r="AQ4" s="140"/>
      <c r="AR4" s="44">
        <v>0.25</v>
      </c>
      <c r="AS4" s="45">
        <v>0.5625</v>
      </c>
      <c r="AT4" s="44">
        <v>0.25</v>
      </c>
      <c r="AU4" s="45">
        <v>0.5625</v>
      </c>
      <c r="AV4" s="44">
        <v>0.25</v>
      </c>
      <c r="AW4" s="45">
        <v>0.5625</v>
      </c>
      <c r="AX4" s="137"/>
      <c r="AY4" s="137"/>
      <c r="AZ4" s="8"/>
      <c r="BB4" s="140"/>
      <c r="BC4" s="44">
        <v>0.25</v>
      </c>
      <c r="BD4" s="45">
        <v>0.5625</v>
      </c>
      <c r="BE4" s="44">
        <v>0.25</v>
      </c>
      <c r="BF4" s="45">
        <v>0.5625</v>
      </c>
      <c r="BG4" s="44">
        <v>0.25</v>
      </c>
      <c r="BH4" s="45">
        <v>0.5625</v>
      </c>
      <c r="BI4" s="137"/>
      <c r="BJ4" s="137"/>
      <c r="BL4" s="140"/>
      <c r="BM4" s="44">
        <v>0.25</v>
      </c>
      <c r="BN4" s="45">
        <v>0.5625</v>
      </c>
      <c r="BO4" s="44">
        <v>0.25</v>
      </c>
      <c r="BP4" s="45">
        <v>0.5625</v>
      </c>
      <c r="BQ4" s="44">
        <v>0.25</v>
      </c>
      <c r="BR4" s="45">
        <v>0.5625</v>
      </c>
      <c r="BS4" s="137"/>
      <c r="BT4" s="137"/>
      <c r="BV4" s="140"/>
      <c r="BW4" s="44">
        <v>0.25</v>
      </c>
      <c r="BX4" s="45">
        <v>0.5625</v>
      </c>
      <c r="BY4" s="44">
        <v>0.25</v>
      </c>
      <c r="BZ4" s="45">
        <v>0.5625</v>
      </c>
      <c r="CA4" s="44">
        <v>0.25</v>
      </c>
      <c r="CB4" s="45">
        <v>0.5625</v>
      </c>
      <c r="CC4" s="137"/>
      <c r="CD4" s="137"/>
      <c r="CF4" s="140"/>
      <c r="CG4" s="44">
        <v>0.25</v>
      </c>
      <c r="CH4" s="45">
        <v>0.5625</v>
      </c>
      <c r="CI4" s="44">
        <v>0.25</v>
      </c>
      <c r="CJ4" s="45">
        <v>0.5625</v>
      </c>
      <c r="CK4" s="44">
        <v>0.25</v>
      </c>
      <c r="CL4" s="45">
        <v>0.5625</v>
      </c>
      <c r="CM4" s="137"/>
      <c r="CN4" s="137"/>
      <c r="CO4" s="8"/>
      <c r="CP4" s="140"/>
      <c r="CQ4" s="44">
        <v>0.25</v>
      </c>
      <c r="CR4" s="45">
        <v>0.5625</v>
      </c>
      <c r="CS4" s="44">
        <v>0.25</v>
      </c>
      <c r="CT4" s="45">
        <v>0.5625</v>
      </c>
      <c r="CU4" s="44">
        <v>0.25</v>
      </c>
      <c r="CV4" s="45">
        <v>0.5625</v>
      </c>
      <c r="CW4" s="137"/>
      <c r="CX4" s="137"/>
    </row>
    <row r="5" spans="1:102" x14ac:dyDescent="0.25">
      <c r="A5" s="5">
        <v>1</v>
      </c>
      <c r="B5" s="46">
        <v>45342</v>
      </c>
      <c r="C5" s="5">
        <v>252000</v>
      </c>
      <c r="D5" s="5">
        <v>27</v>
      </c>
      <c r="E5" s="5">
        <v>32</v>
      </c>
      <c r="F5" s="5">
        <v>5.6</v>
      </c>
      <c r="G5" s="5">
        <v>5.7</v>
      </c>
      <c r="H5" s="5">
        <v>7.5</v>
      </c>
      <c r="I5" s="5">
        <v>7.7</v>
      </c>
      <c r="J5" s="5">
        <v>7.0000000000000007E-2</v>
      </c>
      <c r="K5" s="5">
        <v>21</v>
      </c>
      <c r="M5" s="5">
        <v>258700</v>
      </c>
      <c r="N5" s="5">
        <v>28</v>
      </c>
      <c r="O5" s="5">
        <v>29</v>
      </c>
      <c r="P5" s="5">
        <v>7</v>
      </c>
      <c r="Q5" s="5">
        <v>6.4</v>
      </c>
      <c r="R5" s="5">
        <v>7.4</v>
      </c>
      <c r="S5" s="5">
        <v>7.5</v>
      </c>
      <c r="T5" s="5">
        <v>7.0000000000000007E-2</v>
      </c>
      <c r="U5" s="5">
        <v>22</v>
      </c>
      <c r="W5" s="5">
        <v>258700</v>
      </c>
      <c r="X5" s="5">
        <v>28</v>
      </c>
      <c r="Y5" s="5">
        <v>31</v>
      </c>
      <c r="Z5" s="5">
        <v>6.8</v>
      </c>
      <c r="AA5" s="5">
        <v>6.3</v>
      </c>
      <c r="AB5" s="5">
        <v>7.4</v>
      </c>
      <c r="AC5" s="5">
        <v>7.3</v>
      </c>
      <c r="AD5" s="5">
        <v>0.08</v>
      </c>
      <c r="AE5" s="5">
        <v>19</v>
      </c>
      <c r="AG5" s="5">
        <v>258700</v>
      </c>
      <c r="AH5" s="5">
        <v>27</v>
      </c>
      <c r="AI5" s="5">
        <v>30</v>
      </c>
      <c r="AJ5" s="5">
        <v>5.8</v>
      </c>
      <c r="AK5" s="5">
        <v>6.3</v>
      </c>
      <c r="AL5" s="5">
        <v>7.4</v>
      </c>
      <c r="AM5" s="5">
        <v>7.4</v>
      </c>
      <c r="AN5" s="5">
        <v>0.06</v>
      </c>
      <c r="AO5" s="5">
        <v>25</v>
      </c>
      <c r="AQ5" s="5">
        <v>258700</v>
      </c>
      <c r="AR5" s="5">
        <v>26</v>
      </c>
      <c r="AS5" s="5">
        <v>31</v>
      </c>
      <c r="AT5" s="5">
        <v>6.5</v>
      </c>
      <c r="AU5" s="5">
        <v>6.9</v>
      </c>
      <c r="AV5" s="5">
        <v>7.1</v>
      </c>
      <c r="AW5" s="5">
        <v>7.6</v>
      </c>
      <c r="AX5" s="5">
        <v>7.0000000000000007E-2</v>
      </c>
      <c r="AY5" s="5">
        <v>21</v>
      </c>
      <c r="BB5" s="5">
        <v>252000</v>
      </c>
      <c r="BC5" s="5">
        <v>26</v>
      </c>
      <c r="BD5" s="5">
        <v>30</v>
      </c>
      <c r="BE5" s="5">
        <v>5.5</v>
      </c>
      <c r="BF5" s="5">
        <v>6.5</v>
      </c>
      <c r="BG5" s="5">
        <v>7.5</v>
      </c>
      <c r="BH5" s="5">
        <v>7.4</v>
      </c>
      <c r="BI5" s="5">
        <v>7.0000000000000007E-2</v>
      </c>
      <c r="BJ5" s="5">
        <v>19</v>
      </c>
      <c r="BL5" s="5">
        <v>258700</v>
      </c>
      <c r="BM5" s="5">
        <v>29</v>
      </c>
      <c r="BN5" s="5">
        <v>29</v>
      </c>
      <c r="BO5" s="5">
        <v>5.9</v>
      </c>
      <c r="BP5" s="5">
        <v>5.6</v>
      </c>
      <c r="BQ5" s="67">
        <v>7.6</v>
      </c>
      <c r="BR5" s="5">
        <v>7.1</v>
      </c>
      <c r="BS5" s="5">
        <v>0.06</v>
      </c>
      <c r="BT5" s="5">
        <v>25</v>
      </c>
      <c r="BV5" s="5">
        <v>258700</v>
      </c>
      <c r="BW5" s="5">
        <v>29</v>
      </c>
      <c r="BX5" s="5">
        <v>30</v>
      </c>
      <c r="BY5" s="5">
        <v>6.2</v>
      </c>
      <c r="BZ5" s="5">
        <v>6.2</v>
      </c>
      <c r="CA5" s="5">
        <v>7.7</v>
      </c>
      <c r="CB5" s="5">
        <v>7.7</v>
      </c>
      <c r="CC5" s="5">
        <v>7.0000000000000007E-2</v>
      </c>
      <c r="CD5" s="5">
        <v>21</v>
      </c>
      <c r="CF5" s="5">
        <v>258700</v>
      </c>
      <c r="CG5" s="5">
        <v>28</v>
      </c>
      <c r="CH5" s="5">
        <v>32</v>
      </c>
      <c r="CI5" s="5">
        <v>6</v>
      </c>
      <c r="CJ5" s="5">
        <v>6.1</v>
      </c>
      <c r="CK5" s="5">
        <v>7.6</v>
      </c>
      <c r="CL5" s="5">
        <v>7.2</v>
      </c>
      <c r="CM5" s="5">
        <v>0.06</v>
      </c>
      <c r="CN5" s="5">
        <v>25</v>
      </c>
      <c r="CP5" s="5">
        <v>258700</v>
      </c>
      <c r="CQ5" s="5">
        <v>28</v>
      </c>
      <c r="CR5" s="5">
        <v>30</v>
      </c>
      <c r="CS5" s="5">
        <v>6.5</v>
      </c>
      <c r="CT5" s="5">
        <v>6.7</v>
      </c>
      <c r="CU5" s="5">
        <v>7.5</v>
      </c>
      <c r="CV5" s="5">
        <v>7.1</v>
      </c>
      <c r="CW5" s="5">
        <v>0.06</v>
      </c>
      <c r="CX5" s="5">
        <v>21</v>
      </c>
    </row>
    <row r="6" spans="1:102" x14ac:dyDescent="0.25">
      <c r="A6" s="5">
        <v>2</v>
      </c>
      <c r="B6" s="46">
        <v>45343</v>
      </c>
      <c r="C6" s="5">
        <v>252000</v>
      </c>
      <c r="D6" s="5">
        <v>29</v>
      </c>
      <c r="E6" s="5">
        <v>32</v>
      </c>
      <c r="F6" s="5">
        <v>7.1</v>
      </c>
      <c r="G6" s="5">
        <v>6.5</v>
      </c>
      <c r="H6" s="5">
        <v>7.4</v>
      </c>
      <c r="I6" s="5">
        <v>7.5</v>
      </c>
      <c r="K6" s="5">
        <v>23</v>
      </c>
      <c r="M6" s="5">
        <v>258700</v>
      </c>
      <c r="N6" s="5">
        <v>26</v>
      </c>
      <c r="O6" s="5">
        <v>30</v>
      </c>
      <c r="P6" s="5">
        <v>6.6</v>
      </c>
      <c r="Q6" s="5">
        <v>6.1</v>
      </c>
      <c r="R6" s="5">
        <v>7.3</v>
      </c>
      <c r="S6" s="5">
        <v>7.6</v>
      </c>
      <c r="U6" s="5">
        <v>23</v>
      </c>
      <c r="W6" s="5">
        <v>258700</v>
      </c>
      <c r="X6" s="5">
        <v>27</v>
      </c>
      <c r="Y6" s="5">
        <v>30</v>
      </c>
      <c r="Z6" s="5">
        <v>5.6</v>
      </c>
      <c r="AA6" s="5">
        <v>5.7</v>
      </c>
      <c r="AB6" s="5">
        <v>7.7</v>
      </c>
      <c r="AC6" s="5">
        <v>7.2</v>
      </c>
      <c r="AE6" s="5">
        <v>21</v>
      </c>
      <c r="AG6" s="5">
        <v>258700</v>
      </c>
      <c r="AH6" s="5">
        <v>29</v>
      </c>
      <c r="AI6" s="5">
        <v>29</v>
      </c>
      <c r="AJ6" s="5">
        <v>7.1</v>
      </c>
      <c r="AK6" s="5">
        <v>6</v>
      </c>
      <c r="AL6" s="5">
        <v>7.2</v>
      </c>
      <c r="AM6" s="5">
        <v>7.2</v>
      </c>
      <c r="AO6" s="5">
        <v>19</v>
      </c>
      <c r="AQ6" s="5">
        <v>258700</v>
      </c>
      <c r="AR6" s="5">
        <v>27</v>
      </c>
      <c r="AS6" s="5">
        <v>29</v>
      </c>
      <c r="AT6" s="5">
        <v>6.4</v>
      </c>
      <c r="AU6" s="5">
        <v>5.9</v>
      </c>
      <c r="AV6" s="5">
        <v>7.1</v>
      </c>
      <c r="AW6" s="5">
        <v>7.6</v>
      </c>
      <c r="AY6" s="5">
        <v>24</v>
      </c>
      <c r="BB6" s="5">
        <v>252000</v>
      </c>
      <c r="BC6" s="5">
        <v>27</v>
      </c>
      <c r="BD6" s="5">
        <v>32</v>
      </c>
      <c r="BE6" s="5">
        <v>5.5</v>
      </c>
      <c r="BF6" s="5">
        <v>7.1</v>
      </c>
      <c r="BG6" s="5">
        <v>7.5</v>
      </c>
      <c r="BH6" s="5">
        <v>7.1</v>
      </c>
      <c r="BJ6" s="5">
        <v>23</v>
      </c>
      <c r="BL6" s="5">
        <v>258700</v>
      </c>
      <c r="BM6" s="5">
        <v>28</v>
      </c>
      <c r="BN6" s="5">
        <v>30</v>
      </c>
      <c r="BO6" s="5">
        <v>6.2</v>
      </c>
      <c r="BP6" s="5">
        <v>6.4</v>
      </c>
      <c r="BQ6" s="67">
        <v>7.7</v>
      </c>
      <c r="BR6" s="5">
        <v>7.7</v>
      </c>
      <c r="BT6" s="5">
        <v>23</v>
      </c>
      <c r="BV6" s="5">
        <v>258700</v>
      </c>
      <c r="BW6" s="5">
        <v>29</v>
      </c>
      <c r="BX6" s="5">
        <v>32</v>
      </c>
      <c r="BY6" s="5">
        <v>5.8</v>
      </c>
      <c r="BZ6" s="5">
        <v>6</v>
      </c>
      <c r="CA6" s="5">
        <v>7.7</v>
      </c>
      <c r="CB6" s="5">
        <v>7.2</v>
      </c>
      <c r="CD6" s="5">
        <v>19</v>
      </c>
      <c r="CF6" s="5">
        <v>258700</v>
      </c>
      <c r="CG6" s="5">
        <v>28</v>
      </c>
      <c r="CH6" s="5">
        <v>32</v>
      </c>
      <c r="CI6" s="5">
        <v>6.2</v>
      </c>
      <c r="CJ6" s="5">
        <v>5.6</v>
      </c>
      <c r="CK6" s="5">
        <v>7.1</v>
      </c>
      <c r="CL6" s="5">
        <v>7.6</v>
      </c>
      <c r="CN6" s="5">
        <v>20</v>
      </c>
      <c r="CP6" s="5">
        <v>258700</v>
      </c>
      <c r="CQ6" s="5">
        <v>29</v>
      </c>
      <c r="CR6" s="5">
        <v>31</v>
      </c>
      <c r="CS6" s="5">
        <v>5.8</v>
      </c>
      <c r="CT6" s="5">
        <v>6.2</v>
      </c>
      <c r="CU6" s="5">
        <v>7.5</v>
      </c>
      <c r="CV6" s="5">
        <v>7.2</v>
      </c>
      <c r="CX6" s="5">
        <v>20</v>
      </c>
    </row>
    <row r="7" spans="1:102" x14ac:dyDescent="0.25">
      <c r="A7" s="5">
        <v>3</v>
      </c>
      <c r="B7" s="46">
        <v>45344</v>
      </c>
      <c r="C7" s="5">
        <v>252000</v>
      </c>
      <c r="D7" s="5">
        <v>27</v>
      </c>
      <c r="E7" s="5">
        <v>32</v>
      </c>
      <c r="F7" s="5">
        <v>5.9</v>
      </c>
      <c r="G7" s="5">
        <v>6.3</v>
      </c>
      <c r="H7" s="5">
        <v>7.4</v>
      </c>
      <c r="I7" s="5">
        <v>7.3</v>
      </c>
      <c r="K7" s="5">
        <v>21</v>
      </c>
      <c r="M7" s="5">
        <v>258700</v>
      </c>
      <c r="N7" s="5">
        <v>26</v>
      </c>
      <c r="O7" s="5">
        <v>29</v>
      </c>
      <c r="P7" s="5">
        <v>6.4</v>
      </c>
      <c r="Q7" s="5">
        <v>6</v>
      </c>
      <c r="R7" s="5">
        <v>7.4</v>
      </c>
      <c r="S7" s="5">
        <v>7.2</v>
      </c>
      <c r="U7" s="5">
        <v>24</v>
      </c>
      <c r="W7" s="5">
        <v>258700</v>
      </c>
      <c r="X7" s="5">
        <v>29</v>
      </c>
      <c r="Y7" s="5">
        <v>32</v>
      </c>
      <c r="Z7" s="5">
        <v>6.3</v>
      </c>
      <c r="AA7" s="5">
        <v>7.1</v>
      </c>
      <c r="AB7" s="5">
        <v>7.4</v>
      </c>
      <c r="AC7" s="5">
        <v>7.5</v>
      </c>
      <c r="AE7" s="5">
        <v>24</v>
      </c>
      <c r="AG7" s="5">
        <v>258700</v>
      </c>
      <c r="AH7" s="5">
        <v>26</v>
      </c>
      <c r="AI7" s="5">
        <v>29</v>
      </c>
      <c r="AJ7" s="5">
        <v>5.5</v>
      </c>
      <c r="AK7" s="5">
        <v>6.6</v>
      </c>
      <c r="AL7" s="5">
        <v>7.5</v>
      </c>
      <c r="AM7" s="5">
        <v>7.3</v>
      </c>
      <c r="AO7" s="5">
        <v>19</v>
      </c>
      <c r="AQ7" s="5">
        <v>258700</v>
      </c>
      <c r="AR7" s="5">
        <v>27</v>
      </c>
      <c r="AS7" s="5">
        <v>29</v>
      </c>
      <c r="AT7" s="5">
        <v>5.6</v>
      </c>
      <c r="AU7" s="5">
        <v>6.5</v>
      </c>
      <c r="AV7" s="5">
        <v>7.6</v>
      </c>
      <c r="AW7" s="5">
        <v>7.4</v>
      </c>
      <c r="AY7" s="5">
        <v>21</v>
      </c>
      <c r="BB7" s="5">
        <v>252000</v>
      </c>
      <c r="BC7" s="5">
        <v>28</v>
      </c>
      <c r="BD7" s="5">
        <v>32</v>
      </c>
      <c r="BE7" s="5">
        <v>6.2</v>
      </c>
      <c r="BF7" s="5">
        <v>7.1</v>
      </c>
      <c r="BG7" s="5">
        <v>7.7</v>
      </c>
      <c r="BH7" s="5">
        <v>7.6</v>
      </c>
      <c r="BJ7" s="5">
        <v>21</v>
      </c>
      <c r="BL7" s="5">
        <v>258700</v>
      </c>
      <c r="BM7" s="5">
        <v>28</v>
      </c>
      <c r="BN7" s="5">
        <v>31</v>
      </c>
      <c r="BO7" s="5">
        <v>6.6</v>
      </c>
      <c r="BP7" s="5">
        <v>7</v>
      </c>
      <c r="BQ7" s="67">
        <v>7.6</v>
      </c>
      <c r="BR7" s="5">
        <v>7.1</v>
      </c>
      <c r="BT7" s="5">
        <v>20</v>
      </c>
      <c r="BV7" s="5">
        <v>258700</v>
      </c>
      <c r="BW7" s="5">
        <v>27</v>
      </c>
      <c r="BX7" s="5">
        <v>32</v>
      </c>
      <c r="BY7" s="5">
        <v>6</v>
      </c>
      <c r="BZ7" s="5">
        <v>6.9</v>
      </c>
      <c r="CA7" s="5">
        <v>7.2</v>
      </c>
      <c r="CB7" s="5">
        <v>7.3</v>
      </c>
      <c r="CD7" s="5">
        <v>20</v>
      </c>
      <c r="CF7" s="5">
        <v>258700</v>
      </c>
      <c r="CG7" s="5">
        <v>27</v>
      </c>
      <c r="CH7" s="5">
        <v>30</v>
      </c>
      <c r="CI7" s="5">
        <v>6.9</v>
      </c>
      <c r="CJ7" s="5">
        <v>5.8</v>
      </c>
      <c r="CK7" s="5">
        <v>7.3</v>
      </c>
      <c r="CL7" s="5">
        <v>7.5</v>
      </c>
      <c r="CN7" s="5">
        <v>22</v>
      </c>
      <c r="CP7" s="5">
        <v>258700</v>
      </c>
      <c r="CQ7" s="5">
        <v>29</v>
      </c>
      <c r="CR7" s="5">
        <v>32</v>
      </c>
      <c r="CS7" s="5">
        <v>6.2</v>
      </c>
      <c r="CT7" s="5">
        <v>7.1</v>
      </c>
      <c r="CU7" s="5">
        <v>7.6</v>
      </c>
      <c r="CV7" s="5">
        <v>7.5</v>
      </c>
      <c r="CX7" s="5">
        <v>19</v>
      </c>
    </row>
    <row r="8" spans="1:102" x14ac:dyDescent="0.25">
      <c r="A8" s="5">
        <v>4</v>
      </c>
      <c r="B8" s="46">
        <v>45345</v>
      </c>
      <c r="C8" s="5">
        <v>252000</v>
      </c>
      <c r="D8" s="5">
        <v>28</v>
      </c>
      <c r="E8" s="5">
        <v>29</v>
      </c>
      <c r="F8" s="5">
        <v>6.4</v>
      </c>
      <c r="G8" s="5">
        <v>6.1</v>
      </c>
      <c r="H8" s="5">
        <v>7.4</v>
      </c>
      <c r="I8" s="5">
        <v>7.1</v>
      </c>
      <c r="K8" s="5">
        <v>21</v>
      </c>
      <c r="M8" s="5">
        <v>258700</v>
      </c>
      <c r="N8" s="5">
        <v>28</v>
      </c>
      <c r="O8" s="5">
        <v>32</v>
      </c>
      <c r="P8" s="5">
        <v>6.2</v>
      </c>
      <c r="Q8" s="5">
        <v>6.7</v>
      </c>
      <c r="R8" s="5">
        <v>7.5</v>
      </c>
      <c r="S8" s="5">
        <v>7.4</v>
      </c>
      <c r="U8" s="5">
        <v>21</v>
      </c>
      <c r="W8" s="5">
        <v>258700</v>
      </c>
      <c r="X8" s="5">
        <v>29</v>
      </c>
      <c r="Y8" s="5">
        <v>32</v>
      </c>
      <c r="Z8" s="5">
        <v>6.3</v>
      </c>
      <c r="AA8" s="5">
        <v>6.6</v>
      </c>
      <c r="AB8" s="5">
        <v>7.6</v>
      </c>
      <c r="AC8" s="5">
        <v>7.2</v>
      </c>
      <c r="AE8" s="5">
        <v>22</v>
      </c>
      <c r="AG8" s="5">
        <v>258700</v>
      </c>
      <c r="AH8" s="5">
        <v>29</v>
      </c>
      <c r="AI8" s="5">
        <v>30</v>
      </c>
      <c r="AJ8" s="5">
        <v>5.9</v>
      </c>
      <c r="AK8" s="5">
        <v>6.5</v>
      </c>
      <c r="AL8" s="5">
        <v>7.3</v>
      </c>
      <c r="AM8" s="5">
        <v>7.2</v>
      </c>
      <c r="AO8" s="5">
        <v>23</v>
      </c>
      <c r="AQ8" s="5">
        <v>258700</v>
      </c>
      <c r="AR8" s="5">
        <v>29</v>
      </c>
      <c r="AS8" s="5">
        <v>32</v>
      </c>
      <c r="AT8" s="5">
        <v>6.3</v>
      </c>
      <c r="AU8" s="5">
        <v>6.7</v>
      </c>
      <c r="AV8" s="5">
        <v>7.6</v>
      </c>
      <c r="AW8" s="5">
        <v>7.5</v>
      </c>
      <c r="AY8" s="5">
        <v>23</v>
      </c>
      <c r="BB8" s="5">
        <v>252000</v>
      </c>
      <c r="BC8" s="5">
        <v>27</v>
      </c>
      <c r="BD8" s="5">
        <v>31</v>
      </c>
      <c r="BE8" s="5">
        <v>5.5</v>
      </c>
      <c r="BF8" s="5">
        <v>6.5</v>
      </c>
      <c r="BG8" s="5">
        <v>7.7</v>
      </c>
      <c r="BH8" s="5">
        <v>7.7</v>
      </c>
      <c r="BJ8" s="5">
        <v>20</v>
      </c>
      <c r="BL8" s="5">
        <v>258700</v>
      </c>
      <c r="BM8" s="5">
        <v>29</v>
      </c>
      <c r="BN8" s="5">
        <v>31</v>
      </c>
      <c r="BO8" s="5">
        <v>6</v>
      </c>
      <c r="BP8" s="5">
        <v>7</v>
      </c>
      <c r="BQ8" s="67">
        <v>7.3</v>
      </c>
      <c r="BR8" s="5">
        <v>7.4</v>
      </c>
      <c r="BT8" s="5">
        <v>25</v>
      </c>
      <c r="BV8" s="5">
        <v>258700</v>
      </c>
      <c r="BW8" s="5">
        <v>29</v>
      </c>
      <c r="BX8" s="5">
        <v>30</v>
      </c>
      <c r="BY8" s="5">
        <v>6.7</v>
      </c>
      <c r="BZ8" s="5">
        <v>6.5</v>
      </c>
      <c r="CA8" s="5">
        <v>7.3</v>
      </c>
      <c r="CB8" s="5">
        <v>7.1</v>
      </c>
      <c r="CD8" s="5">
        <v>21</v>
      </c>
      <c r="CF8" s="5">
        <v>258700</v>
      </c>
      <c r="CG8" s="5">
        <v>27</v>
      </c>
      <c r="CH8" s="5">
        <v>30</v>
      </c>
      <c r="CI8" s="5">
        <v>7</v>
      </c>
      <c r="CJ8" s="5">
        <v>5.6</v>
      </c>
      <c r="CK8" s="5">
        <v>7.6</v>
      </c>
      <c r="CL8" s="5">
        <v>7.5</v>
      </c>
      <c r="CN8" s="5">
        <v>20</v>
      </c>
      <c r="CP8" s="5">
        <v>258700</v>
      </c>
      <c r="CQ8" s="5">
        <v>26</v>
      </c>
      <c r="CR8" s="5">
        <v>32</v>
      </c>
      <c r="CS8" s="5">
        <v>6.6</v>
      </c>
      <c r="CT8" s="5">
        <v>6.8</v>
      </c>
      <c r="CU8" s="5">
        <v>7.7</v>
      </c>
      <c r="CV8" s="5">
        <v>7.2</v>
      </c>
      <c r="CX8" s="5">
        <v>24</v>
      </c>
    </row>
    <row r="9" spans="1:102" x14ac:dyDescent="0.25">
      <c r="A9" s="5">
        <v>5</v>
      </c>
      <c r="B9" s="46">
        <v>45346</v>
      </c>
      <c r="C9" s="5">
        <v>252000</v>
      </c>
      <c r="D9" s="5">
        <v>27</v>
      </c>
      <c r="E9" s="5">
        <v>29</v>
      </c>
      <c r="F9" s="5">
        <v>6.6</v>
      </c>
      <c r="G9" s="5">
        <v>6.8</v>
      </c>
      <c r="H9" s="5">
        <v>7.4</v>
      </c>
      <c r="I9" s="5">
        <v>7.6</v>
      </c>
      <c r="K9" s="5">
        <v>19</v>
      </c>
      <c r="M9" s="5">
        <v>258700</v>
      </c>
      <c r="N9" s="5">
        <v>29</v>
      </c>
      <c r="O9" s="5">
        <v>29</v>
      </c>
      <c r="P9" s="5">
        <v>6.8</v>
      </c>
      <c r="Q9" s="5">
        <v>5.8</v>
      </c>
      <c r="R9" s="5">
        <v>7.6</v>
      </c>
      <c r="S9" s="5">
        <v>7.6</v>
      </c>
      <c r="U9" s="5">
        <v>22</v>
      </c>
      <c r="W9" s="5">
        <v>258700</v>
      </c>
      <c r="X9" s="5">
        <v>28</v>
      </c>
      <c r="Y9" s="5">
        <v>30</v>
      </c>
      <c r="Z9" s="5">
        <v>5.5</v>
      </c>
      <c r="AA9" s="5">
        <v>6.7</v>
      </c>
      <c r="AB9" s="5">
        <v>7.5</v>
      </c>
      <c r="AC9" s="5">
        <v>7.1</v>
      </c>
      <c r="AE9" s="5">
        <v>21</v>
      </c>
      <c r="AG9" s="5">
        <v>258700</v>
      </c>
      <c r="AH9" s="5">
        <v>26</v>
      </c>
      <c r="AI9" s="5">
        <v>32</v>
      </c>
      <c r="AJ9" s="5">
        <v>5.8</v>
      </c>
      <c r="AK9" s="5">
        <v>6.2</v>
      </c>
      <c r="AL9" s="5">
        <v>7.4</v>
      </c>
      <c r="AM9" s="5">
        <v>7.2</v>
      </c>
      <c r="AO9" s="5">
        <v>19</v>
      </c>
      <c r="AQ9" s="5">
        <v>258700</v>
      </c>
      <c r="AR9" s="5">
        <v>27</v>
      </c>
      <c r="AS9" s="5">
        <v>30</v>
      </c>
      <c r="AT9" s="5">
        <v>5.5</v>
      </c>
      <c r="AU9" s="5">
        <v>6.4</v>
      </c>
      <c r="AV9" s="5">
        <v>7.4</v>
      </c>
      <c r="AW9" s="5">
        <v>7.1</v>
      </c>
      <c r="AY9" s="5">
        <v>19</v>
      </c>
      <c r="BB9" s="5">
        <v>252000</v>
      </c>
      <c r="BC9" s="5">
        <v>27</v>
      </c>
      <c r="BD9" s="5">
        <v>32</v>
      </c>
      <c r="BE9" s="5">
        <v>5.8</v>
      </c>
      <c r="BF9" s="5">
        <v>5.7</v>
      </c>
      <c r="BG9" s="5">
        <v>7.6</v>
      </c>
      <c r="BH9" s="5">
        <v>7.7</v>
      </c>
      <c r="BJ9" s="5">
        <v>20</v>
      </c>
      <c r="BL9" s="5">
        <v>258700</v>
      </c>
      <c r="BM9" s="5">
        <v>26</v>
      </c>
      <c r="BN9" s="5">
        <v>32</v>
      </c>
      <c r="BO9" s="5">
        <v>6.8</v>
      </c>
      <c r="BP9" s="5">
        <v>5.8</v>
      </c>
      <c r="BQ9" s="67">
        <v>7.5</v>
      </c>
      <c r="BR9" s="5">
        <v>7.3</v>
      </c>
      <c r="BT9" s="5">
        <v>22</v>
      </c>
      <c r="BV9" s="5">
        <v>258700</v>
      </c>
      <c r="BW9" s="5">
        <v>29</v>
      </c>
      <c r="BX9" s="5">
        <v>31</v>
      </c>
      <c r="BY9" s="5">
        <v>6.2</v>
      </c>
      <c r="BZ9" s="5">
        <v>6.2</v>
      </c>
      <c r="CA9" s="5">
        <v>7.1</v>
      </c>
      <c r="CB9" s="5">
        <v>7.4</v>
      </c>
      <c r="CD9" s="5">
        <v>21</v>
      </c>
      <c r="CF9" s="5">
        <v>258700</v>
      </c>
      <c r="CG9" s="5">
        <v>26</v>
      </c>
      <c r="CH9" s="5">
        <v>32</v>
      </c>
      <c r="CI9" s="5">
        <v>5.5</v>
      </c>
      <c r="CJ9" s="5">
        <v>6.6</v>
      </c>
      <c r="CK9" s="5">
        <v>7.2</v>
      </c>
      <c r="CL9" s="5">
        <v>7.4</v>
      </c>
      <c r="CN9" s="5">
        <v>19</v>
      </c>
      <c r="CP9" s="5">
        <v>258700</v>
      </c>
      <c r="CQ9" s="5">
        <v>26</v>
      </c>
      <c r="CR9" s="5">
        <v>32</v>
      </c>
      <c r="CS9" s="5">
        <v>6</v>
      </c>
      <c r="CT9" s="5">
        <v>5.5</v>
      </c>
      <c r="CU9" s="5">
        <v>7.7</v>
      </c>
      <c r="CV9" s="5">
        <v>7.6</v>
      </c>
      <c r="CX9" s="5">
        <v>21</v>
      </c>
    </row>
    <row r="10" spans="1:102" x14ac:dyDescent="0.25">
      <c r="A10" s="5">
        <v>6</v>
      </c>
      <c r="B10" s="46">
        <v>45347</v>
      </c>
      <c r="C10" s="5">
        <v>252000</v>
      </c>
      <c r="D10" s="5">
        <v>27</v>
      </c>
      <c r="E10" s="5">
        <v>31</v>
      </c>
      <c r="F10" s="5">
        <v>5.5</v>
      </c>
      <c r="G10" s="5">
        <v>5.6</v>
      </c>
      <c r="H10" s="5">
        <v>7.1</v>
      </c>
      <c r="I10" s="5">
        <v>7.4</v>
      </c>
      <c r="K10" s="5">
        <v>24</v>
      </c>
      <c r="M10" s="5">
        <v>258700</v>
      </c>
      <c r="N10" s="5">
        <v>29</v>
      </c>
      <c r="O10" s="5">
        <v>29</v>
      </c>
      <c r="P10" s="5">
        <v>6.2</v>
      </c>
      <c r="Q10" s="5">
        <v>6.4</v>
      </c>
      <c r="R10" s="5">
        <v>7.4</v>
      </c>
      <c r="S10" s="5">
        <v>7.2</v>
      </c>
      <c r="U10" s="5">
        <v>22</v>
      </c>
      <c r="W10" s="5">
        <v>258700</v>
      </c>
      <c r="X10" s="5">
        <v>26</v>
      </c>
      <c r="Y10" s="5">
        <v>32</v>
      </c>
      <c r="Z10" s="5">
        <v>7</v>
      </c>
      <c r="AA10" s="5">
        <v>6.3</v>
      </c>
      <c r="AB10" s="5">
        <v>7.2</v>
      </c>
      <c r="AC10" s="5">
        <v>7.1</v>
      </c>
      <c r="AE10" s="5">
        <v>21</v>
      </c>
      <c r="AG10" s="5">
        <v>258700</v>
      </c>
      <c r="AH10" s="5">
        <v>27</v>
      </c>
      <c r="AI10" s="5">
        <v>31</v>
      </c>
      <c r="AJ10" s="5">
        <v>6.4</v>
      </c>
      <c r="AK10" s="5">
        <v>5.8</v>
      </c>
      <c r="AL10" s="5">
        <v>7.3</v>
      </c>
      <c r="AM10" s="5">
        <v>7.2</v>
      </c>
      <c r="AO10" s="5">
        <v>25</v>
      </c>
      <c r="AQ10" s="5">
        <v>258700</v>
      </c>
      <c r="AR10" s="5">
        <v>28</v>
      </c>
      <c r="AS10" s="5">
        <v>29</v>
      </c>
      <c r="AT10" s="5">
        <v>6.8</v>
      </c>
      <c r="AU10" s="5">
        <v>6.4</v>
      </c>
      <c r="AV10" s="5">
        <v>7.1</v>
      </c>
      <c r="AW10" s="5">
        <v>7.4</v>
      </c>
      <c r="AY10" s="5">
        <v>22</v>
      </c>
      <c r="BB10" s="5">
        <v>252000</v>
      </c>
      <c r="BC10" s="5">
        <v>27</v>
      </c>
      <c r="BD10" s="5">
        <v>30</v>
      </c>
      <c r="BE10" s="5">
        <v>5.7</v>
      </c>
      <c r="BF10" s="5">
        <v>6.7</v>
      </c>
      <c r="BG10" s="5">
        <v>7.2</v>
      </c>
      <c r="BH10" s="5">
        <v>7.7</v>
      </c>
      <c r="BJ10" s="5">
        <v>24</v>
      </c>
      <c r="BL10" s="5">
        <v>258700</v>
      </c>
      <c r="BM10" s="5">
        <v>28</v>
      </c>
      <c r="BN10" s="5">
        <v>31</v>
      </c>
      <c r="BO10" s="5">
        <v>6.3</v>
      </c>
      <c r="BP10" s="5">
        <v>6.3</v>
      </c>
      <c r="BQ10" s="67">
        <v>7.7</v>
      </c>
      <c r="BR10" s="5">
        <v>7.7</v>
      </c>
      <c r="BT10" s="5">
        <v>20</v>
      </c>
      <c r="BV10" s="5">
        <v>258700</v>
      </c>
      <c r="BW10" s="5">
        <v>27</v>
      </c>
      <c r="BX10" s="5">
        <v>29</v>
      </c>
      <c r="BY10" s="5">
        <v>6.4</v>
      </c>
      <c r="BZ10" s="5">
        <v>6.1</v>
      </c>
      <c r="CA10" s="5">
        <v>7.2</v>
      </c>
      <c r="CB10" s="5">
        <v>7.2</v>
      </c>
      <c r="CD10" s="5">
        <v>25</v>
      </c>
      <c r="CF10" s="5">
        <v>258700</v>
      </c>
      <c r="CG10" s="5">
        <v>29</v>
      </c>
      <c r="CH10" s="5">
        <v>31</v>
      </c>
      <c r="CI10" s="5">
        <v>6</v>
      </c>
      <c r="CJ10" s="5">
        <v>7</v>
      </c>
      <c r="CK10" s="5">
        <v>7.6</v>
      </c>
      <c r="CL10" s="5">
        <v>7.6</v>
      </c>
      <c r="CN10" s="5">
        <v>22</v>
      </c>
      <c r="CP10" s="5">
        <v>258700</v>
      </c>
      <c r="CQ10" s="5">
        <v>27</v>
      </c>
      <c r="CR10" s="5">
        <v>29</v>
      </c>
      <c r="CS10" s="5">
        <v>6.3</v>
      </c>
      <c r="CT10" s="5">
        <v>7</v>
      </c>
      <c r="CU10" s="5">
        <v>7.4</v>
      </c>
      <c r="CV10" s="5">
        <v>7.4</v>
      </c>
      <c r="CX10" s="5">
        <v>20</v>
      </c>
    </row>
    <row r="11" spans="1:102" x14ac:dyDescent="0.25">
      <c r="A11" s="5">
        <v>7</v>
      </c>
      <c r="B11" s="46">
        <v>45348</v>
      </c>
      <c r="C11" s="5">
        <v>252000</v>
      </c>
      <c r="D11" s="5">
        <v>29</v>
      </c>
      <c r="E11" s="5">
        <v>30</v>
      </c>
      <c r="F11" s="5">
        <v>5.9</v>
      </c>
      <c r="G11" s="5">
        <v>6.6</v>
      </c>
      <c r="H11" s="5">
        <v>7.7</v>
      </c>
      <c r="I11" s="5">
        <v>7.3</v>
      </c>
      <c r="K11" s="5">
        <v>22</v>
      </c>
      <c r="M11" s="5">
        <v>258700</v>
      </c>
      <c r="N11" s="5">
        <v>29</v>
      </c>
      <c r="O11" s="5">
        <v>30</v>
      </c>
      <c r="P11" s="5">
        <v>6.1</v>
      </c>
      <c r="Q11" s="5">
        <v>6</v>
      </c>
      <c r="R11" s="5">
        <v>7.4</v>
      </c>
      <c r="S11" s="5">
        <v>7.1</v>
      </c>
      <c r="U11" s="5">
        <v>25</v>
      </c>
      <c r="W11" s="5">
        <v>258700</v>
      </c>
      <c r="X11" s="5">
        <v>27</v>
      </c>
      <c r="Y11" s="5">
        <v>30</v>
      </c>
      <c r="Z11" s="5">
        <v>6.2</v>
      </c>
      <c r="AA11" s="5">
        <v>6.9</v>
      </c>
      <c r="AB11" s="5">
        <v>7.2</v>
      </c>
      <c r="AC11" s="5">
        <v>7.3</v>
      </c>
      <c r="AE11" s="5">
        <v>20</v>
      </c>
      <c r="AG11" s="5">
        <v>258700</v>
      </c>
      <c r="AH11" s="5">
        <v>26</v>
      </c>
      <c r="AI11" s="5">
        <v>30</v>
      </c>
      <c r="AJ11" s="5">
        <v>5.9</v>
      </c>
      <c r="AK11" s="5">
        <v>6.3</v>
      </c>
      <c r="AL11" s="5">
        <v>7.1</v>
      </c>
      <c r="AM11" s="5">
        <v>7.1</v>
      </c>
      <c r="AO11" s="5">
        <v>22</v>
      </c>
      <c r="AQ11" s="5">
        <v>258700</v>
      </c>
      <c r="AR11" s="5">
        <v>28</v>
      </c>
      <c r="AS11" s="5">
        <v>29</v>
      </c>
      <c r="AT11" s="5">
        <v>6.1</v>
      </c>
      <c r="AU11" s="5">
        <v>5.7</v>
      </c>
      <c r="AV11" s="5">
        <v>7.2</v>
      </c>
      <c r="AW11" s="5">
        <v>7.7</v>
      </c>
      <c r="AY11" s="5">
        <v>24</v>
      </c>
      <c r="BB11" s="5">
        <v>252000</v>
      </c>
      <c r="BC11" s="5">
        <v>28</v>
      </c>
      <c r="BD11" s="5">
        <v>31</v>
      </c>
      <c r="BE11" s="5">
        <v>7.1</v>
      </c>
      <c r="BF11" s="5">
        <v>6.8</v>
      </c>
      <c r="BG11" s="5">
        <v>7.5</v>
      </c>
      <c r="BH11" s="5">
        <v>7.5</v>
      </c>
      <c r="BJ11" s="5">
        <v>25</v>
      </c>
      <c r="BL11" s="5">
        <v>258700</v>
      </c>
      <c r="BM11" s="5">
        <v>27</v>
      </c>
      <c r="BN11" s="5">
        <v>30</v>
      </c>
      <c r="BO11" s="5">
        <v>6.6</v>
      </c>
      <c r="BP11" s="5">
        <v>5.7</v>
      </c>
      <c r="BQ11" s="67">
        <v>7.5</v>
      </c>
      <c r="BR11" s="5">
        <v>7.5</v>
      </c>
      <c r="BT11" s="5">
        <v>23</v>
      </c>
      <c r="BV11" s="5">
        <v>258700</v>
      </c>
      <c r="BW11" s="5">
        <v>27</v>
      </c>
      <c r="BX11" s="5">
        <v>29</v>
      </c>
      <c r="BY11" s="5">
        <v>6.8</v>
      </c>
      <c r="BZ11" s="5">
        <v>6.7</v>
      </c>
      <c r="CA11" s="5">
        <v>7.3</v>
      </c>
      <c r="CB11" s="5">
        <v>7.2</v>
      </c>
      <c r="CD11" s="5">
        <v>25</v>
      </c>
      <c r="CF11" s="5">
        <v>258700</v>
      </c>
      <c r="CG11" s="5">
        <v>28</v>
      </c>
      <c r="CH11" s="5">
        <v>29</v>
      </c>
      <c r="CI11" s="5">
        <v>6.6</v>
      </c>
      <c r="CJ11" s="5">
        <v>7</v>
      </c>
      <c r="CK11" s="5">
        <v>7.3</v>
      </c>
      <c r="CL11" s="5">
        <v>7.6</v>
      </c>
      <c r="CN11" s="5">
        <v>23</v>
      </c>
      <c r="CP11" s="5">
        <v>258700</v>
      </c>
      <c r="CQ11" s="5">
        <v>27</v>
      </c>
      <c r="CR11" s="5">
        <v>31</v>
      </c>
      <c r="CS11" s="5">
        <v>5.9</v>
      </c>
      <c r="CT11" s="5">
        <v>6.9</v>
      </c>
      <c r="CU11" s="5">
        <v>7.4</v>
      </c>
      <c r="CV11" s="5">
        <v>7.7</v>
      </c>
      <c r="CX11" s="5">
        <v>21</v>
      </c>
    </row>
    <row r="12" spans="1:102" x14ac:dyDescent="0.25">
      <c r="A12" s="5">
        <v>8</v>
      </c>
      <c r="B12" s="46">
        <v>45349</v>
      </c>
      <c r="C12" s="5">
        <v>252000</v>
      </c>
      <c r="D12" s="5">
        <v>28</v>
      </c>
      <c r="E12" s="5">
        <v>29</v>
      </c>
      <c r="F12" s="5">
        <v>6.2</v>
      </c>
      <c r="G12" s="5">
        <v>6.2</v>
      </c>
      <c r="H12" s="5">
        <v>7.6</v>
      </c>
      <c r="I12" s="5">
        <v>7.1</v>
      </c>
      <c r="K12" s="5">
        <v>20</v>
      </c>
      <c r="M12" s="5">
        <v>258700</v>
      </c>
      <c r="N12" s="5">
        <v>27</v>
      </c>
      <c r="O12" s="5">
        <v>29</v>
      </c>
      <c r="P12" s="5">
        <v>5.9</v>
      </c>
      <c r="Q12" s="5">
        <v>5.7</v>
      </c>
      <c r="R12" s="5">
        <v>7.2</v>
      </c>
      <c r="S12" s="5">
        <v>7.6</v>
      </c>
      <c r="U12" s="5">
        <v>20</v>
      </c>
      <c r="W12" s="5">
        <v>258700</v>
      </c>
      <c r="X12" s="5">
        <v>28</v>
      </c>
      <c r="Y12" s="5">
        <v>30</v>
      </c>
      <c r="Z12" s="5">
        <v>5.9</v>
      </c>
      <c r="AA12" s="5">
        <v>6.3</v>
      </c>
      <c r="AB12" s="5">
        <v>7.7</v>
      </c>
      <c r="AC12" s="5">
        <v>7.6</v>
      </c>
      <c r="AE12" s="5">
        <v>21</v>
      </c>
      <c r="AG12" s="5">
        <v>258700</v>
      </c>
      <c r="AH12" s="5">
        <v>27</v>
      </c>
      <c r="AI12" s="5">
        <v>29</v>
      </c>
      <c r="AJ12" s="5">
        <v>5.7</v>
      </c>
      <c r="AK12" s="5">
        <v>6.8</v>
      </c>
      <c r="AL12" s="5">
        <v>7.7</v>
      </c>
      <c r="AM12" s="5">
        <v>7.3</v>
      </c>
      <c r="AO12" s="5">
        <v>24</v>
      </c>
      <c r="AQ12" s="5">
        <v>258700</v>
      </c>
      <c r="AR12" s="5">
        <v>26</v>
      </c>
      <c r="AS12" s="5">
        <v>30</v>
      </c>
      <c r="AT12" s="5">
        <v>5.5</v>
      </c>
      <c r="AU12" s="5">
        <v>6.8</v>
      </c>
      <c r="AV12" s="5">
        <v>7.2</v>
      </c>
      <c r="AW12" s="5">
        <v>7.6</v>
      </c>
      <c r="AY12" s="5">
        <v>23</v>
      </c>
      <c r="BB12" s="5">
        <v>252000</v>
      </c>
      <c r="BC12" s="5">
        <v>26</v>
      </c>
      <c r="BD12" s="5">
        <v>29</v>
      </c>
      <c r="BE12" s="5">
        <v>6.3</v>
      </c>
      <c r="BF12" s="5">
        <v>6</v>
      </c>
      <c r="BG12" s="5">
        <v>7.5</v>
      </c>
      <c r="BH12" s="5">
        <v>7.2</v>
      </c>
      <c r="BJ12" s="5">
        <v>24</v>
      </c>
      <c r="BL12" s="5">
        <v>258700</v>
      </c>
      <c r="BM12" s="5">
        <v>29</v>
      </c>
      <c r="BN12" s="5">
        <v>30</v>
      </c>
      <c r="BO12" s="5">
        <v>6.3</v>
      </c>
      <c r="BP12" s="5">
        <v>5.8</v>
      </c>
      <c r="BQ12" s="68">
        <v>7.6</v>
      </c>
      <c r="BR12" s="5">
        <v>7.6</v>
      </c>
      <c r="BT12" s="5">
        <v>19</v>
      </c>
      <c r="BV12" s="5">
        <v>258700</v>
      </c>
      <c r="BW12" s="5">
        <v>26</v>
      </c>
      <c r="BX12" s="5">
        <v>32</v>
      </c>
      <c r="BY12" s="5">
        <v>6.3</v>
      </c>
      <c r="BZ12" s="5">
        <v>6.1</v>
      </c>
      <c r="CA12" s="5">
        <v>7.5</v>
      </c>
      <c r="CB12" s="5">
        <v>7.7</v>
      </c>
      <c r="CD12" s="5">
        <v>21</v>
      </c>
      <c r="CF12" s="5">
        <v>258700</v>
      </c>
      <c r="CG12" s="5">
        <v>27</v>
      </c>
      <c r="CH12" s="5">
        <v>31</v>
      </c>
      <c r="CI12" s="5">
        <v>5.9</v>
      </c>
      <c r="CJ12" s="5">
        <v>5.7</v>
      </c>
      <c r="CK12" s="5">
        <v>7.1</v>
      </c>
      <c r="CL12" s="5">
        <v>7.5</v>
      </c>
      <c r="CN12" s="5">
        <v>24</v>
      </c>
      <c r="CP12" s="5">
        <v>258700</v>
      </c>
      <c r="CQ12" s="5">
        <v>26</v>
      </c>
      <c r="CR12" s="5">
        <v>32</v>
      </c>
      <c r="CS12" s="5">
        <v>5.8</v>
      </c>
      <c r="CT12" s="5">
        <v>5.8</v>
      </c>
      <c r="CU12" s="5">
        <v>7.6</v>
      </c>
      <c r="CV12" s="5">
        <v>7.4</v>
      </c>
      <c r="CX12" s="5">
        <v>22</v>
      </c>
    </row>
    <row r="13" spans="1:102" x14ac:dyDescent="0.25">
      <c r="A13" s="5">
        <v>9</v>
      </c>
      <c r="B13" s="46">
        <v>45350</v>
      </c>
      <c r="C13" s="5">
        <v>252000</v>
      </c>
      <c r="D13" s="5">
        <v>26</v>
      </c>
      <c r="E13" s="5">
        <v>30</v>
      </c>
      <c r="F13" s="5">
        <v>6.6</v>
      </c>
      <c r="G13" s="5">
        <v>6.3</v>
      </c>
      <c r="H13" s="5">
        <v>7.2</v>
      </c>
      <c r="I13" s="5">
        <v>7.7</v>
      </c>
      <c r="K13" s="5">
        <v>21</v>
      </c>
      <c r="M13" s="5">
        <v>258700</v>
      </c>
      <c r="N13" s="5">
        <v>29</v>
      </c>
      <c r="O13" s="5">
        <v>29</v>
      </c>
      <c r="P13" s="5">
        <v>6.2</v>
      </c>
      <c r="Q13" s="5">
        <v>6.4</v>
      </c>
      <c r="R13" s="5">
        <v>7.2</v>
      </c>
      <c r="S13" s="5">
        <v>7.5</v>
      </c>
      <c r="U13" s="5">
        <v>22</v>
      </c>
      <c r="W13" s="5">
        <v>258700</v>
      </c>
      <c r="X13" s="5">
        <v>27</v>
      </c>
      <c r="Y13" s="5">
        <v>31</v>
      </c>
      <c r="Z13" s="5">
        <v>6.3</v>
      </c>
      <c r="AA13" s="5">
        <v>5.5</v>
      </c>
      <c r="AB13" s="5">
        <v>7.7</v>
      </c>
      <c r="AC13" s="5">
        <v>7.4</v>
      </c>
      <c r="AE13" s="5">
        <v>19</v>
      </c>
      <c r="AG13" s="5">
        <v>258700</v>
      </c>
      <c r="AH13" s="5">
        <v>27</v>
      </c>
      <c r="AI13" s="5">
        <v>32</v>
      </c>
      <c r="AJ13" s="5">
        <v>5.7</v>
      </c>
      <c r="AK13" s="5">
        <v>7.1</v>
      </c>
      <c r="AL13" s="5">
        <v>7.4</v>
      </c>
      <c r="AM13" s="5">
        <v>7.2</v>
      </c>
      <c r="AO13" s="5">
        <v>19</v>
      </c>
      <c r="AQ13" s="5">
        <v>258700</v>
      </c>
      <c r="AR13" s="5">
        <v>27</v>
      </c>
      <c r="AS13" s="5">
        <v>30</v>
      </c>
      <c r="AT13" s="5">
        <v>5.8</v>
      </c>
      <c r="AU13" s="5">
        <v>6.2</v>
      </c>
      <c r="AV13" s="5">
        <v>7.1</v>
      </c>
      <c r="AW13" s="5">
        <v>7.1</v>
      </c>
      <c r="AY13" s="5">
        <v>23</v>
      </c>
      <c r="BB13" s="5">
        <v>252000</v>
      </c>
      <c r="BC13" s="5">
        <v>26</v>
      </c>
      <c r="BD13" s="5">
        <v>31</v>
      </c>
      <c r="BE13" s="5">
        <v>6.4</v>
      </c>
      <c r="BF13" s="5">
        <v>6.9</v>
      </c>
      <c r="BG13" s="5">
        <v>7.7</v>
      </c>
      <c r="BH13" s="5">
        <v>7.2</v>
      </c>
      <c r="BJ13" s="5">
        <v>19</v>
      </c>
      <c r="BL13" s="5">
        <v>258700</v>
      </c>
      <c r="BM13" s="5">
        <v>26</v>
      </c>
      <c r="BN13" s="5">
        <v>30</v>
      </c>
      <c r="BO13" s="5">
        <v>5.5</v>
      </c>
      <c r="BP13" s="5">
        <v>7</v>
      </c>
      <c r="BQ13" s="68">
        <v>7.2</v>
      </c>
      <c r="BR13" s="5">
        <v>7.6</v>
      </c>
      <c r="BT13" s="5">
        <v>20</v>
      </c>
      <c r="BV13" s="5">
        <v>258700</v>
      </c>
      <c r="BW13" s="5">
        <v>28</v>
      </c>
      <c r="BX13" s="5">
        <v>29</v>
      </c>
      <c r="BY13" s="5">
        <v>6.4</v>
      </c>
      <c r="BZ13" s="5">
        <v>6.6</v>
      </c>
      <c r="CA13" s="5">
        <v>7.1</v>
      </c>
      <c r="CB13" s="5">
        <v>7.3</v>
      </c>
      <c r="CD13" s="5">
        <v>24</v>
      </c>
      <c r="CF13" s="5">
        <v>258700</v>
      </c>
      <c r="CG13" s="5">
        <v>27</v>
      </c>
      <c r="CH13" s="5">
        <v>30</v>
      </c>
      <c r="CI13" s="5">
        <v>6.5</v>
      </c>
      <c r="CJ13" s="5">
        <v>6.5</v>
      </c>
      <c r="CK13" s="5">
        <v>7.2</v>
      </c>
      <c r="CL13" s="5">
        <v>7.3</v>
      </c>
      <c r="CN13" s="5">
        <v>20</v>
      </c>
      <c r="CP13" s="5">
        <v>258700</v>
      </c>
      <c r="CQ13" s="5">
        <v>27</v>
      </c>
      <c r="CR13" s="5">
        <v>30</v>
      </c>
      <c r="CS13" s="5">
        <v>6.2</v>
      </c>
      <c r="CT13" s="5">
        <v>6.3</v>
      </c>
      <c r="CU13" s="5">
        <v>7.1</v>
      </c>
      <c r="CV13" s="5">
        <v>7.2</v>
      </c>
      <c r="CX13" s="5">
        <v>24</v>
      </c>
    </row>
    <row r="14" spans="1:102" x14ac:dyDescent="0.25">
      <c r="A14" s="5">
        <v>10</v>
      </c>
      <c r="B14" s="46">
        <v>45351</v>
      </c>
      <c r="C14" s="5">
        <v>252000</v>
      </c>
      <c r="D14" s="5">
        <v>27</v>
      </c>
      <c r="E14" s="5">
        <v>31</v>
      </c>
      <c r="F14" s="5">
        <v>6.8</v>
      </c>
      <c r="G14" s="5">
        <v>5.7</v>
      </c>
      <c r="H14" s="5">
        <v>7.6</v>
      </c>
      <c r="I14" s="5">
        <v>7.7</v>
      </c>
      <c r="K14" s="5">
        <v>22</v>
      </c>
      <c r="M14" s="5">
        <v>258700</v>
      </c>
      <c r="N14" s="5">
        <v>27</v>
      </c>
      <c r="O14" s="5">
        <v>31</v>
      </c>
      <c r="P14" s="5">
        <v>6.8</v>
      </c>
      <c r="Q14" s="5">
        <v>6.5</v>
      </c>
      <c r="R14" s="5">
        <v>7.5</v>
      </c>
      <c r="S14" s="5">
        <v>7.6</v>
      </c>
      <c r="U14" s="5">
        <v>22</v>
      </c>
      <c r="W14" s="5">
        <v>258700</v>
      </c>
      <c r="X14" s="5">
        <v>29</v>
      </c>
      <c r="Y14" s="5">
        <v>31</v>
      </c>
      <c r="Z14" s="5">
        <v>6.5</v>
      </c>
      <c r="AA14" s="5">
        <v>5.6</v>
      </c>
      <c r="AB14" s="5">
        <v>7.5</v>
      </c>
      <c r="AC14" s="5">
        <v>7.1</v>
      </c>
      <c r="AE14" s="5">
        <v>25</v>
      </c>
      <c r="AG14" s="5">
        <v>258700</v>
      </c>
      <c r="AH14" s="5">
        <v>26</v>
      </c>
      <c r="AI14" s="5">
        <v>30</v>
      </c>
      <c r="AJ14" s="5">
        <v>5.9</v>
      </c>
      <c r="AK14" s="5">
        <v>5.9</v>
      </c>
      <c r="AL14" s="5">
        <v>7.1</v>
      </c>
      <c r="AM14" s="5">
        <v>7.2</v>
      </c>
      <c r="AO14" s="5">
        <v>19</v>
      </c>
      <c r="AQ14" s="5">
        <v>258700</v>
      </c>
      <c r="AR14" s="5">
        <v>27</v>
      </c>
      <c r="AS14" s="5">
        <v>32</v>
      </c>
      <c r="AT14" s="5">
        <v>6.7</v>
      </c>
      <c r="AU14" s="5">
        <v>7.1</v>
      </c>
      <c r="AV14" s="5">
        <v>7.4</v>
      </c>
      <c r="AW14" s="5">
        <v>7.2</v>
      </c>
      <c r="AY14" s="5">
        <v>22</v>
      </c>
      <c r="BB14" s="5">
        <v>252000</v>
      </c>
      <c r="BC14" s="5">
        <v>29</v>
      </c>
      <c r="BD14" s="5">
        <v>31</v>
      </c>
      <c r="BE14" s="5">
        <v>6.8</v>
      </c>
      <c r="BF14" s="5">
        <v>6</v>
      </c>
      <c r="BG14" s="5">
        <v>7.7</v>
      </c>
      <c r="BH14" s="5">
        <v>7.3</v>
      </c>
      <c r="BJ14" s="5">
        <v>23</v>
      </c>
      <c r="BL14" s="5">
        <v>258700</v>
      </c>
      <c r="BM14" s="5">
        <v>27</v>
      </c>
      <c r="BN14" s="5">
        <v>29</v>
      </c>
      <c r="BO14" s="5">
        <v>5.6</v>
      </c>
      <c r="BP14" s="5">
        <v>5.7</v>
      </c>
      <c r="BQ14" s="68">
        <v>7.6</v>
      </c>
      <c r="BR14" s="5">
        <v>7.3</v>
      </c>
      <c r="BT14" s="5">
        <v>24</v>
      </c>
      <c r="BV14" s="5">
        <v>258700</v>
      </c>
      <c r="BW14" s="5">
        <v>27</v>
      </c>
      <c r="BX14" s="5">
        <v>30</v>
      </c>
      <c r="BY14" s="5">
        <v>7</v>
      </c>
      <c r="BZ14" s="5">
        <v>6.3</v>
      </c>
      <c r="CA14" s="5">
        <v>7.1</v>
      </c>
      <c r="CB14" s="5">
        <v>7.6</v>
      </c>
      <c r="CD14" s="5">
        <v>20</v>
      </c>
      <c r="CF14" s="5">
        <v>258700</v>
      </c>
      <c r="CG14" s="5">
        <v>27</v>
      </c>
      <c r="CH14" s="5">
        <v>32</v>
      </c>
      <c r="CI14" s="5">
        <v>6.6</v>
      </c>
      <c r="CJ14" s="5">
        <v>5.7</v>
      </c>
      <c r="CK14" s="5">
        <v>7.1</v>
      </c>
      <c r="CL14" s="5">
        <v>7.2</v>
      </c>
      <c r="CN14" s="5">
        <v>20</v>
      </c>
      <c r="CP14" s="5">
        <v>258700</v>
      </c>
      <c r="CQ14" s="5">
        <v>28</v>
      </c>
      <c r="CR14" s="5">
        <v>31</v>
      </c>
      <c r="CS14" s="5">
        <v>6.2</v>
      </c>
      <c r="CT14" s="5">
        <v>6.3</v>
      </c>
      <c r="CU14" s="5">
        <v>7.4</v>
      </c>
      <c r="CV14" s="5">
        <v>7.6</v>
      </c>
      <c r="CX14" s="5">
        <v>25</v>
      </c>
    </row>
    <row r="15" spans="1:102" x14ac:dyDescent="0.25">
      <c r="A15" s="5">
        <v>11</v>
      </c>
      <c r="B15" s="46">
        <v>45352</v>
      </c>
      <c r="C15" s="5">
        <v>252000</v>
      </c>
      <c r="D15" s="5">
        <v>28</v>
      </c>
      <c r="E15" s="5">
        <v>31</v>
      </c>
      <c r="F15" s="5">
        <v>6.1</v>
      </c>
      <c r="G15" s="5">
        <v>6.5</v>
      </c>
      <c r="H15" s="5">
        <v>7.7</v>
      </c>
      <c r="I15" s="5">
        <v>7.3</v>
      </c>
      <c r="K15" s="5">
        <v>22</v>
      </c>
      <c r="M15" s="5">
        <v>258700</v>
      </c>
      <c r="N15" s="5">
        <v>28</v>
      </c>
      <c r="O15" s="5">
        <v>31</v>
      </c>
      <c r="P15" s="5">
        <v>5.8</v>
      </c>
      <c r="Q15" s="5">
        <v>6.7</v>
      </c>
      <c r="R15" s="5">
        <v>7.4</v>
      </c>
      <c r="S15" s="5">
        <v>7.3</v>
      </c>
      <c r="U15" s="5">
        <v>25</v>
      </c>
      <c r="W15" s="5">
        <v>258700</v>
      </c>
      <c r="X15" s="5">
        <v>28</v>
      </c>
      <c r="Y15" s="5">
        <v>29</v>
      </c>
      <c r="Z15" s="5">
        <v>6</v>
      </c>
      <c r="AA15" s="5">
        <v>6.7</v>
      </c>
      <c r="AB15" s="5">
        <v>7.1</v>
      </c>
      <c r="AC15" s="5">
        <v>7.5</v>
      </c>
      <c r="AE15" s="5">
        <v>22</v>
      </c>
      <c r="AG15" s="5">
        <v>258700</v>
      </c>
      <c r="AH15" s="5">
        <v>27</v>
      </c>
      <c r="AI15" s="5">
        <v>30</v>
      </c>
      <c r="AJ15" s="5">
        <v>5.8</v>
      </c>
      <c r="AK15" s="5">
        <v>6.3</v>
      </c>
      <c r="AL15" s="5">
        <v>7.2</v>
      </c>
      <c r="AM15" s="5">
        <v>7.7</v>
      </c>
      <c r="AO15" s="5">
        <v>20</v>
      </c>
      <c r="AQ15" s="5">
        <v>258700</v>
      </c>
      <c r="AR15" s="5">
        <v>28</v>
      </c>
      <c r="AS15" s="5">
        <v>29</v>
      </c>
      <c r="AT15" s="5">
        <v>6.2</v>
      </c>
      <c r="AU15" s="5">
        <v>6.6</v>
      </c>
      <c r="AV15" s="5">
        <v>7.6</v>
      </c>
      <c r="AW15" s="5">
        <v>7.2</v>
      </c>
      <c r="AY15" s="5">
        <v>20</v>
      </c>
      <c r="BB15" s="5">
        <v>252000</v>
      </c>
      <c r="BC15" s="5">
        <v>29</v>
      </c>
      <c r="BD15" s="5">
        <v>31</v>
      </c>
      <c r="BE15" s="5">
        <v>6.1</v>
      </c>
      <c r="BF15" s="5">
        <v>5.8</v>
      </c>
      <c r="BG15" s="5">
        <v>7.2</v>
      </c>
      <c r="BH15" s="5">
        <v>7.4</v>
      </c>
      <c r="BJ15" s="5">
        <v>23</v>
      </c>
      <c r="BL15" s="5">
        <v>258700</v>
      </c>
      <c r="BM15" s="5">
        <v>27</v>
      </c>
      <c r="BN15" s="5">
        <v>32</v>
      </c>
      <c r="BO15" s="5">
        <v>6.8</v>
      </c>
      <c r="BP15" s="5">
        <v>6.8</v>
      </c>
      <c r="BQ15" s="68">
        <v>7.3</v>
      </c>
      <c r="BR15" s="5">
        <v>7.5</v>
      </c>
      <c r="BT15" s="5">
        <v>24</v>
      </c>
      <c r="BV15" s="5">
        <v>258700</v>
      </c>
      <c r="BW15" s="5">
        <v>28</v>
      </c>
      <c r="BX15" s="5">
        <v>29</v>
      </c>
      <c r="BY15" s="5">
        <v>5.7</v>
      </c>
      <c r="BZ15" s="5">
        <v>6.1</v>
      </c>
      <c r="CA15" s="5">
        <v>7.2</v>
      </c>
      <c r="CB15" s="5">
        <v>7.2</v>
      </c>
      <c r="CD15" s="5">
        <v>25</v>
      </c>
      <c r="CF15" s="5">
        <v>258700</v>
      </c>
      <c r="CG15" s="5">
        <v>28</v>
      </c>
      <c r="CH15" s="5">
        <v>32</v>
      </c>
      <c r="CI15" s="5">
        <v>6.3</v>
      </c>
      <c r="CJ15" s="5">
        <v>5.6</v>
      </c>
      <c r="CK15" s="5">
        <v>7.3</v>
      </c>
      <c r="CL15" s="5">
        <v>7.7</v>
      </c>
      <c r="CN15" s="5">
        <v>21</v>
      </c>
      <c r="CP15" s="5">
        <v>258700</v>
      </c>
      <c r="CQ15" s="5">
        <v>29</v>
      </c>
      <c r="CR15" s="5">
        <v>31</v>
      </c>
      <c r="CS15" s="5">
        <v>5.8</v>
      </c>
      <c r="CT15" s="5">
        <v>6</v>
      </c>
      <c r="CU15" s="5">
        <v>7.6</v>
      </c>
      <c r="CV15" s="5">
        <v>7.1</v>
      </c>
      <c r="CX15" s="5">
        <v>24</v>
      </c>
    </row>
    <row r="16" spans="1:102" x14ac:dyDescent="0.25">
      <c r="A16" s="5">
        <v>12</v>
      </c>
      <c r="B16" s="46">
        <v>45353</v>
      </c>
      <c r="C16" s="5">
        <v>252000</v>
      </c>
      <c r="D16" s="5">
        <v>27</v>
      </c>
      <c r="E16" s="5">
        <v>29</v>
      </c>
      <c r="F16" s="5">
        <v>6.6</v>
      </c>
      <c r="G16" s="5">
        <v>6.8</v>
      </c>
      <c r="H16" s="5">
        <v>7.4</v>
      </c>
      <c r="I16" s="5">
        <v>7.2</v>
      </c>
      <c r="K16" s="5">
        <v>19</v>
      </c>
      <c r="M16" s="5">
        <v>258700</v>
      </c>
      <c r="N16" s="5">
        <v>29</v>
      </c>
      <c r="O16" s="5">
        <v>29</v>
      </c>
      <c r="P16" s="5">
        <v>5.8</v>
      </c>
      <c r="Q16" s="5">
        <v>5.7</v>
      </c>
      <c r="R16" s="5">
        <v>7.1</v>
      </c>
      <c r="S16" s="5">
        <v>7.7</v>
      </c>
      <c r="U16" s="5">
        <v>25</v>
      </c>
      <c r="W16" s="5">
        <v>258700</v>
      </c>
      <c r="X16" s="5">
        <v>27</v>
      </c>
      <c r="Y16" s="5">
        <v>29</v>
      </c>
      <c r="Z16" s="5">
        <v>5.7</v>
      </c>
      <c r="AA16" s="5">
        <v>6.8</v>
      </c>
      <c r="AB16" s="5">
        <v>7.5</v>
      </c>
      <c r="AC16" s="5">
        <v>7.6</v>
      </c>
      <c r="AE16" s="5">
        <v>24</v>
      </c>
      <c r="AG16" s="5">
        <v>258700</v>
      </c>
      <c r="AH16" s="5">
        <v>29</v>
      </c>
      <c r="AI16" s="5">
        <v>30</v>
      </c>
      <c r="AJ16" s="5">
        <v>6.9</v>
      </c>
      <c r="AK16" s="5">
        <v>5.9</v>
      </c>
      <c r="AL16" s="5">
        <v>7.4</v>
      </c>
      <c r="AM16" s="5">
        <v>7.5</v>
      </c>
      <c r="AO16" s="5">
        <v>23</v>
      </c>
      <c r="AQ16" s="5">
        <v>258700</v>
      </c>
      <c r="AR16" s="5">
        <v>28</v>
      </c>
      <c r="AS16" s="5">
        <v>32</v>
      </c>
      <c r="AT16" s="5">
        <v>6.4</v>
      </c>
      <c r="AU16" s="5">
        <v>6.6</v>
      </c>
      <c r="AV16" s="5">
        <v>7.5</v>
      </c>
      <c r="AW16" s="5">
        <v>7.6</v>
      </c>
      <c r="AY16" s="5">
        <v>23</v>
      </c>
      <c r="BB16" s="5">
        <v>252000</v>
      </c>
      <c r="BC16" s="5">
        <v>29</v>
      </c>
      <c r="BD16" s="5">
        <v>32</v>
      </c>
      <c r="BE16" s="5">
        <v>5.7</v>
      </c>
      <c r="BF16" s="5">
        <v>7.1</v>
      </c>
      <c r="BG16" s="5">
        <v>7.3</v>
      </c>
      <c r="BH16" s="5">
        <v>7.7</v>
      </c>
      <c r="BJ16" s="5">
        <v>25</v>
      </c>
      <c r="BL16" s="5">
        <v>258700</v>
      </c>
      <c r="BM16" s="5">
        <v>26</v>
      </c>
      <c r="BN16" s="5">
        <v>31</v>
      </c>
      <c r="BO16" s="5">
        <v>5.6</v>
      </c>
      <c r="BP16" s="5">
        <v>6.7</v>
      </c>
      <c r="BQ16" s="68">
        <v>7.2</v>
      </c>
      <c r="BR16" s="5">
        <v>7.4</v>
      </c>
      <c r="BT16" s="5">
        <v>22</v>
      </c>
      <c r="BV16" s="5">
        <v>258700</v>
      </c>
      <c r="BW16" s="5">
        <v>26</v>
      </c>
      <c r="BX16" s="5">
        <v>30</v>
      </c>
      <c r="BY16" s="5">
        <v>5.7</v>
      </c>
      <c r="BZ16" s="5">
        <v>5.6</v>
      </c>
      <c r="CA16" s="5">
        <v>7.5</v>
      </c>
      <c r="CB16" s="5">
        <v>7.4</v>
      </c>
      <c r="CD16" s="5">
        <v>21</v>
      </c>
      <c r="CF16" s="5">
        <v>258700</v>
      </c>
      <c r="CG16" s="5">
        <v>29</v>
      </c>
      <c r="CH16" s="5">
        <v>32</v>
      </c>
      <c r="CI16" s="5">
        <v>6.2</v>
      </c>
      <c r="CJ16" s="5">
        <v>6</v>
      </c>
      <c r="CK16" s="5">
        <v>7.4</v>
      </c>
      <c r="CL16" s="5">
        <v>7.5</v>
      </c>
      <c r="CN16" s="5">
        <v>25</v>
      </c>
      <c r="CP16" s="5">
        <v>258700</v>
      </c>
      <c r="CQ16" s="5">
        <v>27</v>
      </c>
      <c r="CR16" s="5">
        <v>31</v>
      </c>
      <c r="CS16" s="5">
        <v>7</v>
      </c>
      <c r="CT16" s="5">
        <v>7.1</v>
      </c>
      <c r="CU16" s="5">
        <v>7.3</v>
      </c>
      <c r="CV16" s="5">
        <v>7.6</v>
      </c>
      <c r="CX16" s="5">
        <v>22</v>
      </c>
    </row>
    <row r="17" spans="1:102" x14ac:dyDescent="0.25">
      <c r="A17" s="5">
        <v>13</v>
      </c>
      <c r="B17" s="46">
        <v>45354</v>
      </c>
      <c r="C17" s="5">
        <v>252000</v>
      </c>
      <c r="D17" s="5">
        <v>28</v>
      </c>
      <c r="E17" s="5">
        <v>29</v>
      </c>
      <c r="F17" s="5">
        <v>6.7</v>
      </c>
      <c r="G17" s="5">
        <v>6.2</v>
      </c>
      <c r="H17" s="5">
        <v>7.4</v>
      </c>
      <c r="I17" s="5">
        <v>7.4</v>
      </c>
      <c r="K17" s="5">
        <v>24</v>
      </c>
      <c r="M17" s="5">
        <v>258700</v>
      </c>
      <c r="N17" s="5">
        <v>27</v>
      </c>
      <c r="O17" s="5">
        <v>32</v>
      </c>
      <c r="P17" s="5">
        <v>6.2</v>
      </c>
      <c r="Q17" s="5">
        <v>7</v>
      </c>
      <c r="R17" s="5">
        <v>7.6</v>
      </c>
      <c r="S17" s="5">
        <v>7.6</v>
      </c>
      <c r="U17" s="5">
        <v>23</v>
      </c>
      <c r="W17" s="5">
        <v>258700</v>
      </c>
      <c r="X17" s="5">
        <v>29</v>
      </c>
      <c r="Y17" s="5">
        <v>31</v>
      </c>
      <c r="Z17" s="5">
        <v>6.8</v>
      </c>
      <c r="AA17" s="5">
        <v>5.8</v>
      </c>
      <c r="AB17" s="5">
        <v>7.7</v>
      </c>
      <c r="AC17" s="5">
        <v>7.1</v>
      </c>
      <c r="AE17" s="5">
        <v>20</v>
      </c>
      <c r="AG17" s="5">
        <v>258700</v>
      </c>
      <c r="AH17" s="5">
        <v>28</v>
      </c>
      <c r="AI17" s="5">
        <v>30</v>
      </c>
      <c r="AJ17" s="5">
        <v>6.9</v>
      </c>
      <c r="AK17" s="5">
        <v>6.8</v>
      </c>
      <c r="AL17" s="5">
        <v>7.5</v>
      </c>
      <c r="AM17" s="5">
        <v>7.5</v>
      </c>
      <c r="AO17" s="5">
        <v>23</v>
      </c>
      <c r="AQ17" s="5">
        <v>258700</v>
      </c>
      <c r="AR17" s="5">
        <v>26</v>
      </c>
      <c r="AS17" s="5">
        <v>30</v>
      </c>
      <c r="AT17" s="5">
        <v>6.1</v>
      </c>
      <c r="AU17" s="5">
        <v>6.3</v>
      </c>
      <c r="AV17" s="5">
        <v>7.2</v>
      </c>
      <c r="AW17" s="5">
        <v>7.7</v>
      </c>
      <c r="AY17" s="5">
        <v>22</v>
      </c>
      <c r="BB17" s="5">
        <v>252000</v>
      </c>
      <c r="BC17" s="5">
        <v>29</v>
      </c>
      <c r="BD17" s="5">
        <v>32</v>
      </c>
      <c r="BE17" s="5">
        <v>5.6</v>
      </c>
      <c r="BF17" s="5">
        <v>6.7</v>
      </c>
      <c r="BG17" s="5">
        <v>7.1</v>
      </c>
      <c r="BH17" s="5">
        <v>7.7</v>
      </c>
      <c r="BJ17" s="5">
        <v>23</v>
      </c>
      <c r="BL17" s="5">
        <v>258700</v>
      </c>
      <c r="BM17" s="5">
        <v>28</v>
      </c>
      <c r="BN17" s="5">
        <v>31</v>
      </c>
      <c r="BO17" s="5">
        <v>6.2</v>
      </c>
      <c r="BP17" s="5">
        <v>6.6</v>
      </c>
      <c r="BQ17" s="68">
        <v>7.6</v>
      </c>
      <c r="BR17" s="5">
        <v>7.1</v>
      </c>
      <c r="BT17" s="5">
        <v>21</v>
      </c>
      <c r="BV17" s="5">
        <v>258700</v>
      </c>
      <c r="BW17" s="5">
        <v>29</v>
      </c>
      <c r="BX17" s="5">
        <v>31</v>
      </c>
      <c r="BY17" s="5">
        <v>6.5</v>
      </c>
      <c r="BZ17" s="5">
        <v>6.1</v>
      </c>
      <c r="CA17" s="5">
        <v>7.5</v>
      </c>
      <c r="CB17" s="5">
        <v>7.3</v>
      </c>
      <c r="CD17" s="5">
        <v>24</v>
      </c>
      <c r="CF17" s="5">
        <v>258700</v>
      </c>
      <c r="CG17" s="5">
        <v>26</v>
      </c>
      <c r="CH17" s="5">
        <v>32</v>
      </c>
      <c r="CI17" s="5">
        <v>6.1</v>
      </c>
      <c r="CJ17" s="5">
        <v>6.6</v>
      </c>
      <c r="CK17" s="5">
        <v>7.5</v>
      </c>
      <c r="CL17" s="5">
        <v>7.3</v>
      </c>
      <c r="CN17" s="5">
        <v>20</v>
      </c>
      <c r="CP17" s="5">
        <v>258700</v>
      </c>
      <c r="CQ17" s="5">
        <v>27</v>
      </c>
      <c r="CR17" s="5">
        <v>32</v>
      </c>
      <c r="CS17" s="5">
        <v>6.8</v>
      </c>
      <c r="CT17" s="5">
        <v>6.2</v>
      </c>
      <c r="CU17" s="5">
        <v>7.1</v>
      </c>
      <c r="CV17" s="5">
        <v>7.3</v>
      </c>
      <c r="CX17" s="5">
        <v>25</v>
      </c>
    </row>
    <row r="18" spans="1:102" x14ac:dyDescent="0.25">
      <c r="A18" s="5">
        <v>14</v>
      </c>
      <c r="B18" s="46">
        <v>45355</v>
      </c>
      <c r="C18" s="5">
        <v>252000</v>
      </c>
      <c r="D18" s="5">
        <v>27</v>
      </c>
      <c r="E18" s="5">
        <v>32</v>
      </c>
      <c r="F18" s="5">
        <v>5.9</v>
      </c>
      <c r="G18" s="5">
        <v>6.9</v>
      </c>
      <c r="H18" s="5">
        <v>7.1</v>
      </c>
      <c r="I18" s="5">
        <v>7.5</v>
      </c>
      <c r="K18" s="5">
        <v>19</v>
      </c>
      <c r="M18" s="5">
        <v>258700</v>
      </c>
      <c r="N18" s="5">
        <v>27</v>
      </c>
      <c r="O18" s="5">
        <v>30</v>
      </c>
      <c r="P18" s="5">
        <v>6.9</v>
      </c>
      <c r="Q18" s="5">
        <v>5.9</v>
      </c>
      <c r="R18" s="5">
        <v>7.5</v>
      </c>
      <c r="S18" s="5">
        <v>7.7</v>
      </c>
      <c r="U18" s="5">
        <v>24</v>
      </c>
      <c r="W18" s="5">
        <v>258700</v>
      </c>
      <c r="X18" s="5">
        <v>27</v>
      </c>
      <c r="Y18" s="5">
        <v>30</v>
      </c>
      <c r="Z18" s="5">
        <v>5.8</v>
      </c>
      <c r="AA18" s="5">
        <v>6.1</v>
      </c>
      <c r="AB18" s="5">
        <v>7.7</v>
      </c>
      <c r="AC18" s="5">
        <v>7.2</v>
      </c>
      <c r="AE18" s="5">
        <v>25</v>
      </c>
      <c r="AG18" s="5">
        <v>258700</v>
      </c>
      <c r="AH18" s="5">
        <v>26</v>
      </c>
      <c r="AI18" s="5">
        <v>31</v>
      </c>
      <c r="AJ18" s="5">
        <v>6.2</v>
      </c>
      <c r="AK18" s="5">
        <v>6.3</v>
      </c>
      <c r="AL18" s="5">
        <v>7.4</v>
      </c>
      <c r="AM18" s="5">
        <v>7.4</v>
      </c>
      <c r="AO18" s="5">
        <v>24</v>
      </c>
      <c r="AQ18" s="5">
        <v>258700</v>
      </c>
      <c r="AR18" s="5">
        <v>27</v>
      </c>
      <c r="AS18" s="5">
        <v>32</v>
      </c>
      <c r="AT18" s="5">
        <v>6.2</v>
      </c>
      <c r="AU18" s="5">
        <v>7.1</v>
      </c>
      <c r="AV18" s="5">
        <v>7.2</v>
      </c>
      <c r="AW18" s="5">
        <v>7.2</v>
      </c>
      <c r="AY18" s="5">
        <v>22</v>
      </c>
      <c r="BB18" s="5">
        <v>252000</v>
      </c>
      <c r="BC18" s="5">
        <v>28</v>
      </c>
      <c r="BD18" s="5">
        <v>32</v>
      </c>
      <c r="BE18" s="5">
        <v>7.1</v>
      </c>
      <c r="BF18" s="5">
        <v>6.2</v>
      </c>
      <c r="BG18" s="5">
        <v>7.6</v>
      </c>
      <c r="BH18" s="5">
        <v>7.4</v>
      </c>
      <c r="BJ18" s="5">
        <v>20</v>
      </c>
      <c r="BL18" s="5">
        <v>258700</v>
      </c>
      <c r="BM18" s="5">
        <v>27</v>
      </c>
      <c r="BN18" s="5">
        <v>30</v>
      </c>
      <c r="BO18" s="5">
        <v>5.5</v>
      </c>
      <c r="BP18" s="5">
        <v>6.8</v>
      </c>
      <c r="BQ18" s="68">
        <v>7.4</v>
      </c>
      <c r="BR18" s="5">
        <v>7.1</v>
      </c>
      <c r="BT18" s="5">
        <v>25</v>
      </c>
      <c r="BV18" s="5">
        <v>258700</v>
      </c>
      <c r="BW18" s="5">
        <v>29</v>
      </c>
      <c r="BX18" s="5">
        <v>29</v>
      </c>
      <c r="BY18" s="5">
        <v>5.6</v>
      </c>
      <c r="BZ18" s="5">
        <v>7</v>
      </c>
      <c r="CA18" s="5">
        <v>7.3</v>
      </c>
      <c r="CB18" s="5">
        <v>7.6</v>
      </c>
      <c r="CD18" s="5">
        <v>25</v>
      </c>
      <c r="CF18" s="5">
        <v>258700</v>
      </c>
      <c r="CG18" s="5">
        <v>28</v>
      </c>
      <c r="CH18" s="5">
        <v>29</v>
      </c>
      <c r="CI18" s="5">
        <v>6.4</v>
      </c>
      <c r="CJ18" s="5">
        <v>5.8</v>
      </c>
      <c r="CK18" s="5">
        <v>7.2</v>
      </c>
      <c r="CL18" s="5">
        <v>7.73</v>
      </c>
      <c r="CN18" s="5">
        <v>22</v>
      </c>
      <c r="CP18" s="5">
        <v>258700</v>
      </c>
      <c r="CQ18" s="5">
        <v>26</v>
      </c>
      <c r="CR18" s="5">
        <v>30</v>
      </c>
      <c r="CS18" s="5">
        <v>5.5</v>
      </c>
      <c r="CT18" s="5">
        <v>6.5</v>
      </c>
      <c r="CU18" s="5">
        <v>7.1</v>
      </c>
      <c r="CV18" s="5">
        <v>7.4</v>
      </c>
      <c r="CX18" s="5">
        <v>22</v>
      </c>
    </row>
    <row r="19" spans="1:102" x14ac:dyDescent="0.25">
      <c r="A19" s="5">
        <v>15</v>
      </c>
      <c r="B19" s="46">
        <v>45356</v>
      </c>
      <c r="C19" s="5">
        <v>252000</v>
      </c>
      <c r="D19" s="5">
        <v>29</v>
      </c>
      <c r="E19" s="5">
        <v>30</v>
      </c>
      <c r="F19" s="5">
        <v>6.1</v>
      </c>
      <c r="G19" s="5">
        <v>6.1</v>
      </c>
      <c r="H19" s="5">
        <v>7.6</v>
      </c>
      <c r="I19" s="5">
        <v>7.1</v>
      </c>
      <c r="J19" s="5">
        <v>7.0000000000000007E-2</v>
      </c>
      <c r="K19" s="5">
        <v>19</v>
      </c>
      <c r="M19" s="5">
        <v>258700</v>
      </c>
      <c r="N19" s="5">
        <v>26</v>
      </c>
      <c r="O19" s="5">
        <v>31</v>
      </c>
      <c r="P19" s="5">
        <v>6.8</v>
      </c>
      <c r="Q19" s="5">
        <v>6.9</v>
      </c>
      <c r="R19" s="5">
        <v>7.3</v>
      </c>
      <c r="S19" s="5">
        <v>7.1</v>
      </c>
      <c r="T19" s="5">
        <v>0.08</v>
      </c>
      <c r="U19" s="5">
        <v>20</v>
      </c>
      <c r="W19" s="5">
        <v>258700</v>
      </c>
      <c r="X19" s="5">
        <v>28</v>
      </c>
      <c r="Y19" s="5">
        <v>32</v>
      </c>
      <c r="Z19" s="5">
        <v>6.5</v>
      </c>
      <c r="AA19" s="5">
        <v>6.9</v>
      </c>
      <c r="AB19" s="5">
        <v>7.2</v>
      </c>
      <c r="AC19" s="5">
        <v>7.5</v>
      </c>
      <c r="AD19" s="5">
        <v>7.0000000000000007E-2</v>
      </c>
      <c r="AE19" s="5">
        <v>19</v>
      </c>
      <c r="AG19" s="5">
        <v>258700</v>
      </c>
      <c r="AH19" s="5">
        <v>29</v>
      </c>
      <c r="AI19" s="5">
        <v>30</v>
      </c>
      <c r="AJ19" s="5">
        <v>6.9</v>
      </c>
      <c r="AK19" s="5">
        <v>5.5</v>
      </c>
      <c r="AL19" s="5">
        <v>7.2</v>
      </c>
      <c r="AM19" s="5">
        <v>7.1</v>
      </c>
      <c r="AN19" s="5">
        <v>0.06</v>
      </c>
      <c r="AO19" s="5">
        <v>24</v>
      </c>
      <c r="AQ19" s="5">
        <v>258700</v>
      </c>
      <c r="AR19" s="5">
        <v>28</v>
      </c>
      <c r="AS19" s="5">
        <v>31</v>
      </c>
      <c r="AT19" s="5">
        <v>5.7</v>
      </c>
      <c r="AU19" s="5">
        <v>5.5</v>
      </c>
      <c r="AV19" s="5">
        <v>7.4</v>
      </c>
      <c r="AW19" s="5">
        <v>7.1</v>
      </c>
      <c r="AX19" s="5">
        <v>0.05</v>
      </c>
      <c r="AY19" s="5">
        <v>25</v>
      </c>
      <c r="BB19" s="5">
        <v>252000</v>
      </c>
      <c r="BC19" s="5">
        <v>26</v>
      </c>
      <c r="BD19" s="5">
        <v>31</v>
      </c>
      <c r="BE19" s="5">
        <v>6.2</v>
      </c>
      <c r="BF19" s="5">
        <v>7.1</v>
      </c>
      <c r="BG19" s="5">
        <v>7.7</v>
      </c>
      <c r="BH19" s="5">
        <v>7.1</v>
      </c>
      <c r="BI19" s="5">
        <v>7.0000000000000007E-2</v>
      </c>
      <c r="BJ19" s="5">
        <v>22</v>
      </c>
      <c r="BL19" s="5">
        <v>258700</v>
      </c>
      <c r="BM19" s="5">
        <v>28</v>
      </c>
      <c r="BN19" s="5">
        <v>29</v>
      </c>
      <c r="BO19" s="5">
        <v>7.1</v>
      </c>
      <c r="BP19" s="5">
        <v>6</v>
      </c>
      <c r="BQ19" s="69">
        <v>7.3</v>
      </c>
      <c r="BR19" s="5">
        <v>7.7</v>
      </c>
      <c r="BS19" s="5">
        <v>0.04</v>
      </c>
      <c r="BT19" s="5">
        <v>21</v>
      </c>
      <c r="BV19" s="5">
        <v>258700</v>
      </c>
      <c r="BW19" s="5">
        <v>29</v>
      </c>
      <c r="BX19" s="5">
        <v>30</v>
      </c>
      <c r="BY19" s="5">
        <v>6.1</v>
      </c>
      <c r="BZ19" s="5">
        <v>5.5</v>
      </c>
      <c r="CA19" s="5">
        <v>7.6</v>
      </c>
      <c r="CB19" s="5">
        <v>7.2</v>
      </c>
      <c r="CC19" s="5">
        <v>0.04</v>
      </c>
      <c r="CD19" s="5">
        <v>20</v>
      </c>
      <c r="CF19" s="5">
        <v>258700</v>
      </c>
      <c r="CG19" s="5">
        <v>26</v>
      </c>
      <c r="CH19" s="5">
        <v>31</v>
      </c>
      <c r="CI19" s="5">
        <v>6.5</v>
      </c>
      <c r="CJ19" s="5">
        <v>6.8</v>
      </c>
      <c r="CK19" s="5">
        <v>7.3</v>
      </c>
      <c r="CL19" s="5">
        <v>7.4</v>
      </c>
      <c r="CM19" s="5">
        <v>0.05</v>
      </c>
      <c r="CN19" s="5">
        <v>23</v>
      </c>
      <c r="CP19" s="5">
        <v>258700</v>
      </c>
      <c r="CQ19" s="5">
        <v>29</v>
      </c>
      <c r="CR19" s="5">
        <v>29</v>
      </c>
      <c r="CS19" s="5">
        <v>6.1</v>
      </c>
      <c r="CT19" s="5">
        <v>5.6</v>
      </c>
      <c r="CU19" s="5">
        <v>7.4</v>
      </c>
      <c r="CV19" s="5">
        <v>7.6</v>
      </c>
      <c r="CW19" s="5">
        <v>0.05</v>
      </c>
      <c r="CX19" s="5">
        <v>21</v>
      </c>
    </row>
    <row r="20" spans="1:102" x14ac:dyDescent="0.25">
      <c r="A20" s="5">
        <v>16</v>
      </c>
      <c r="B20" s="46">
        <v>45357</v>
      </c>
      <c r="C20" s="5">
        <v>252000</v>
      </c>
      <c r="D20" s="5">
        <v>26</v>
      </c>
      <c r="E20" s="5">
        <v>29</v>
      </c>
      <c r="F20" s="5">
        <v>6.1</v>
      </c>
      <c r="G20" s="5">
        <v>5.5</v>
      </c>
      <c r="H20" s="5">
        <v>7.2</v>
      </c>
      <c r="I20" s="5">
        <v>7.6</v>
      </c>
      <c r="K20" s="5">
        <v>20</v>
      </c>
      <c r="M20" s="5">
        <v>258700</v>
      </c>
      <c r="N20" s="5">
        <v>29</v>
      </c>
      <c r="O20" s="5">
        <v>29</v>
      </c>
      <c r="P20" s="5">
        <v>6.9</v>
      </c>
      <c r="Q20" s="5">
        <v>6.6</v>
      </c>
      <c r="R20" s="5">
        <v>7.6</v>
      </c>
      <c r="S20" s="5">
        <v>7.3</v>
      </c>
      <c r="U20" s="5">
        <v>22</v>
      </c>
      <c r="W20" s="5">
        <v>258700</v>
      </c>
      <c r="X20" s="5">
        <v>26</v>
      </c>
      <c r="Y20" s="5">
        <v>32</v>
      </c>
      <c r="Z20" s="5">
        <v>5.9</v>
      </c>
      <c r="AA20" s="5">
        <v>6.1</v>
      </c>
      <c r="AB20" s="5">
        <v>7.6</v>
      </c>
      <c r="AC20" s="5">
        <v>7.7</v>
      </c>
      <c r="AE20" s="5">
        <v>25</v>
      </c>
      <c r="AG20" s="5">
        <v>258700</v>
      </c>
      <c r="AH20" s="5">
        <v>29</v>
      </c>
      <c r="AI20" s="5">
        <v>31</v>
      </c>
      <c r="AJ20" s="5">
        <v>6.6</v>
      </c>
      <c r="AK20" s="5">
        <v>6.5</v>
      </c>
      <c r="AL20" s="5">
        <v>7.3</v>
      </c>
      <c r="AM20" s="5">
        <v>7.7</v>
      </c>
      <c r="AO20" s="5">
        <v>20</v>
      </c>
      <c r="AQ20" s="5">
        <v>258700</v>
      </c>
      <c r="AR20" s="5">
        <v>29</v>
      </c>
      <c r="AS20" s="5">
        <v>29</v>
      </c>
      <c r="AT20" s="5">
        <v>6.4</v>
      </c>
      <c r="AU20" s="5">
        <v>7.1</v>
      </c>
      <c r="AV20" s="5">
        <v>7.6</v>
      </c>
      <c r="AW20" s="5">
        <v>7.2</v>
      </c>
      <c r="AY20" s="5">
        <v>20</v>
      </c>
      <c r="BB20" s="5">
        <v>270700</v>
      </c>
      <c r="BC20" s="5">
        <v>27</v>
      </c>
      <c r="BD20" s="5">
        <v>29</v>
      </c>
      <c r="BE20" s="5">
        <v>6.7</v>
      </c>
      <c r="BF20" s="5">
        <v>5.5</v>
      </c>
      <c r="BG20" s="5">
        <v>7.7</v>
      </c>
      <c r="BH20" s="5">
        <v>7.7</v>
      </c>
      <c r="BJ20" s="5">
        <v>24</v>
      </c>
      <c r="BL20" s="5">
        <v>258700</v>
      </c>
      <c r="BM20" s="5">
        <v>26</v>
      </c>
      <c r="BN20" s="5">
        <v>29</v>
      </c>
      <c r="BO20" s="5">
        <v>6.7</v>
      </c>
      <c r="BP20" s="5">
        <v>6.8</v>
      </c>
      <c r="BQ20" s="69">
        <v>7.4</v>
      </c>
      <c r="BR20" s="5">
        <v>7.3</v>
      </c>
      <c r="BT20" s="5">
        <v>19</v>
      </c>
      <c r="BV20" s="5">
        <v>258700</v>
      </c>
      <c r="BW20" s="5">
        <v>28</v>
      </c>
      <c r="BX20" s="5">
        <v>29</v>
      </c>
      <c r="BY20" s="5">
        <v>6.6</v>
      </c>
      <c r="BZ20" s="5">
        <v>7.1</v>
      </c>
      <c r="CA20" s="5">
        <v>7.4</v>
      </c>
      <c r="CB20" s="5">
        <v>7.4</v>
      </c>
      <c r="CD20" s="5">
        <v>22</v>
      </c>
      <c r="CF20" s="5">
        <v>258700</v>
      </c>
      <c r="CG20" s="5">
        <v>26</v>
      </c>
      <c r="CH20" s="5">
        <v>30</v>
      </c>
      <c r="CI20" s="5">
        <v>6.5</v>
      </c>
      <c r="CJ20" s="5">
        <v>7</v>
      </c>
      <c r="CK20" s="5">
        <v>7.1</v>
      </c>
      <c r="CL20" s="5">
        <v>7.1</v>
      </c>
      <c r="CN20" s="5">
        <v>25</v>
      </c>
      <c r="CP20" s="5">
        <v>258700</v>
      </c>
      <c r="CQ20" s="5">
        <v>29</v>
      </c>
      <c r="CR20" s="5">
        <v>32</v>
      </c>
      <c r="CS20" s="5">
        <v>6.9</v>
      </c>
      <c r="CT20" s="5">
        <v>5.9</v>
      </c>
      <c r="CU20" s="5">
        <v>7.7</v>
      </c>
      <c r="CV20" s="5">
        <v>7.1</v>
      </c>
      <c r="CX20" s="5">
        <v>19</v>
      </c>
    </row>
    <row r="21" spans="1:102" ht="14.4" customHeight="1" x14ac:dyDescent="0.25">
      <c r="A21" s="5">
        <v>17</v>
      </c>
      <c r="B21" s="46">
        <v>45358</v>
      </c>
      <c r="C21" s="153" t="s">
        <v>40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</row>
    <row r="22" spans="1:102" ht="14.4" customHeight="1" x14ac:dyDescent="0.25">
      <c r="A22" s="5">
        <v>18</v>
      </c>
      <c r="B22" s="46">
        <v>45359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</row>
    <row r="23" spans="1:102" ht="14.4" customHeight="1" x14ac:dyDescent="0.25">
      <c r="A23" s="5">
        <v>19</v>
      </c>
      <c r="B23" s="46">
        <v>45360</v>
      </c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53"/>
      <c r="BL23" s="153"/>
      <c r="BM23" s="153"/>
      <c r="BN23" s="153"/>
      <c r="BO23" s="153"/>
      <c r="BP23" s="153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153"/>
      <c r="CB23" s="153"/>
      <c r="CC23" s="153"/>
      <c r="CD23" s="153"/>
      <c r="CE23" s="153"/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3"/>
      <c r="CU23" s="153"/>
      <c r="CV23" s="153"/>
      <c r="CW23" s="153"/>
      <c r="CX23" s="153"/>
    </row>
    <row r="24" spans="1:102" ht="14.4" customHeight="1" x14ac:dyDescent="0.25">
      <c r="A24" s="5">
        <v>20</v>
      </c>
      <c r="B24" s="46">
        <v>45361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</row>
    <row r="25" spans="1:102" ht="14.4" customHeight="1" x14ac:dyDescent="0.25">
      <c r="A25" s="5">
        <v>21</v>
      </c>
      <c r="B25" s="46">
        <v>45362</v>
      </c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</row>
    <row r="26" spans="1:102" ht="14.4" customHeight="1" x14ac:dyDescent="0.25">
      <c r="A26" s="5">
        <v>22</v>
      </c>
      <c r="B26" s="46">
        <v>45363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</row>
    <row r="27" spans="1:102" ht="14.4" customHeight="1" x14ac:dyDescent="0.25">
      <c r="A27" s="5">
        <v>23</v>
      </c>
      <c r="B27" s="46">
        <v>45364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</row>
    <row r="28" spans="1:102" ht="14.4" customHeight="1" x14ac:dyDescent="0.25">
      <c r="A28" s="5">
        <v>24</v>
      </c>
      <c r="B28" s="46">
        <v>45365</v>
      </c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</row>
    <row r="29" spans="1:102" ht="14.4" customHeight="1" x14ac:dyDescent="0.25">
      <c r="A29" s="5">
        <v>25</v>
      </c>
      <c r="B29" s="46">
        <v>45366</v>
      </c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153"/>
      <c r="CV29" s="153"/>
      <c r="CW29" s="153"/>
      <c r="CX29" s="153"/>
    </row>
    <row r="30" spans="1:102" ht="14.4" customHeight="1" x14ac:dyDescent="0.25">
      <c r="A30" s="5">
        <v>26</v>
      </c>
      <c r="B30" s="46">
        <v>45367</v>
      </c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</row>
    <row r="31" spans="1:102" ht="14.4" customHeight="1" x14ac:dyDescent="0.25">
      <c r="A31" s="5">
        <v>27</v>
      </c>
      <c r="B31" s="46">
        <v>45368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153"/>
      <c r="CV31" s="153"/>
      <c r="CW31" s="153"/>
      <c r="CX31" s="153"/>
    </row>
    <row r="32" spans="1:102" ht="14.4" customHeight="1" x14ac:dyDescent="0.25">
      <c r="A32" s="5">
        <v>28</v>
      </c>
      <c r="B32" s="46">
        <v>45369</v>
      </c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</row>
    <row r="33" spans="1:102" ht="14.4" customHeight="1" x14ac:dyDescent="0.25">
      <c r="A33" s="5">
        <v>29</v>
      </c>
      <c r="B33" s="46">
        <v>45370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</row>
    <row r="34" spans="1:102" ht="14.4" customHeight="1" x14ac:dyDescent="0.25">
      <c r="A34" s="5">
        <v>30</v>
      </c>
      <c r="B34" s="46">
        <v>45371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</row>
    <row r="35" spans="1:102" ht="14.4" customHeight="1" x14ac:dyDescent="0.25">
      <c r="A35" s="5">
        <v>31</v>
      </c>
      <c r="B35" s="46">
        <v>45372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</row>
    <row r="36" spans="1:102" ht="14.4" customHeight="1" x14ac:dyDescent="0.25">
      <c r="A36" s="5">
        <v>32</v>
      </c>
      <c r="B36" s="46">
        <v>45373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</row>
    <row r="37" spans="1:102" ht="14.4" customHeight="1" x14ac:dyDescent="0.25">
      <c r="A37" s="5">
        <v>33</v>
      </c>
      <c r="B37" s="46">
        <v>45374</v>
      </c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</row>
    <row r="38" spans="1:102" ht="14.4" customHeight="1" x14ac:dyDescent="0.25">
      <c r="A38" s="5">
        <v>34</v>
      </c>
      <c r="B38" s="46">
        <v>45375</v>
      </c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3"/>
      <c r="BP38" s="153"/>
      <c r="BQ38" s="153"/>
      <c r="BR38" s="153"/>
      <c r="BS38" s="153"/>
      <c r="BT38" s="153"/>
      <c r="BU38" s="153"/>
      <c r="BV38" s="153"/>
      <c r="BW38" s="153"/>
      <c r="BX38" s="153"/>
      <c r="BY38" s="153"/>
      <c r="BZ38" s="153"/>
      <c r="CA38" s="153"/>
      <c r="CB38" s="153"/>
      <c r="CC38" s="153"/>
      <c r="CD38" s="153"/>
      <c r="CE38" s="153"/>
      <c r="CF38" s="153"/>
      <c r="CG38" s="153"/>
      <c r="CH38" s="153"/>
      <c r="CI38" s="153"/>
      <c r="CJ38" s="153"/>
      <c r="CK38" s="153"/>
      <c r="CL38" s="153"/>
      <c r="CM38" s="153"/>
      <c r="CN38" s="153"/>
      <c r="CO38" s="153"/>
      <c r="CP38" s="153"/>
      <c r="CQ38" s="153"/>
      <c r="CR38" s="153"/>
      <c r="CS38" s="153"/>
      <c r="CT38" s="153"/>
      <c r="CU38" s="153"/>
      <c r="CV38" s="153"/>
      <c r="CW38" s="153"/>
      <c r="CX38" s="153"/>
    </row>
    <row r="39" spans="1:102" ht="14.4" customHeight="1" x14ac:dyDescent="0.25">
      <c r="A39" s="5">
        <v>35</v>
      </c>
      <c r="B39" s="46">
        <v>45376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3"/>
      <c r="CH39" s="153"/>
      <c r="CI39" s="153"/>
      <c r="CJ39" s="153"/>
      <c r="CK39" s="153"/>
      <c r="CL39" s="153"/>
      <c r="CM39" s="153"/>
      <c r="CN39" s="153"/>
      <c r="CO39" s="153"/>
      <c r="CP39" s="153"/>
      <c r="CQ39" s="153"/>
      <c r="CR39" s="153"/>
      <c r="CS39" s="153"/>
      <c r="CT39" s="153"/>
      <c r="CU39" s="153"/>
      <c r="CV39" s="153"/>
      <c r="CW39" s="153"/>
      <c r="CX39" s="153"/>
    </row>
    <row r="40" spans="1:102" ht="14.4" customHeight="1" x14ac:dyDescent="0.25">
      <c r="A40" s="5">
        <v>36</v>
      </c>
      <c r="B40" s="46">
        <v>45377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</row>
    <row r="41" spans="1:102" ht="14.4" customHeight="1" x14ac:dyDescent="0.25">
      <c r="A41" s="5">
        <v>37</v>
      </c>
      <c r="B41" s="46">
        <v>45378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3"/>
    </row>
    <row r="42" spans="1:102" ht="14.4" customHeight="1" x14ac:dyDescent="0.25">
      <c r="A42" s="5">
        <v>38</v>
      </c>
      <c r="B42" s="46">
        <v>45379</v>
      </c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3"/>
      <c r="BN42" s="153"/>
      <c r="BO42" s="153"/>
      <c r="BP42" s="153"/>
      <c r="BQ42" s="153"/>
      <c r="BR42" s="153"/>
      <c r="BS42" s="153"/>
      <c r="BT42" s="153"/>
      <c r="BU42" s="153"/>
      <c r="BV42" s="153"/>
      <c r="BW42" s="153"/>
      <c r="BX42" s="153"/>
      <c r="BY42" s="153"/>
      <c r="BZ42" s="153"/>
      <c r="CA42" s="153"/>
      <c r="CB42" s="153"/>
      <c r="CC42" s="153"/>
      <c r="CD42" s="153"/>
      <c r="CE42" s="153"/>
      <c r="CF42" s="153"/>
      <c r="CG42" s="153"/>
      <c r="CH42" s="153"/>
      <c r="CI42" s="153"/>
      <c r="CJ42" s="153"/>
      <c r="CK42" s="153"/>
      <c r="CL42" s="153"/>
      <c r="CM42" s="153"/>
      <c r="CN42" s="153"/>
      <c r="CO42" s="153"/>
      <c r="CP42" s="153"/>
      <c r="CQ42" s="153"/>
      <c r="CR42" s="153"/>
      <c r="CS42" s="153"/>
      <c r="CT42" s="153"/>
      <c r="CU42" s="153"/>
      <c r="CV42" s="153"/>
      <c r="CW42" s="153"/>
      <c r="CX42" s="153"/>
    </row>
    <row r="43" spans="1:102" ht="14.4" customHeight="1" x14ac:dyDescent="0.25">
      <c r="A43" s="5">
        <v>39</v>
      </c>
      <c r="B43" s="46">
        <v>45380</v>
      </c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3"/>
      <c r="BN43" s="153"/>
      <c r="BO43" s="153"/>
      <c r="BP43" s="153"/>
      <c r="BQ43" s="153"/>
      <c r="BR43" s="153"/>
      <c r="BS43" s="153"/>
      <c r="BT43" s="153"/>
      <c r="BU43" s="153"/>
      <c r="BV43" s="153"/>
      <c r="BW43" s="153"/>
      <c r="BX43" s="153"/>
      <c r="BY43" s="153"/>
      <c r="BZ43" s="153"/>
      <c r="CA43" s="153"/>
      <c r="CB43" s="153"/>
      <c r="CC43" s="153"/>
      <c r="CD43" s="153"/>
      <c r="CE43" s="153"/>
      <c r="CF43" s="153"/>
      <c r="CG43" s="153"/>
      <c r="CH43" s="153"/>
      <c r="CI43" s="153"/>
      <c r="CJ43" s="153"/>
      <c r="CK43" s="153"/>
      <c r="CL43" s="153"/>
      <c r="CM43" s="153"/>
      <c r="CN43" s="153"/>
      <c r="CO43" s="153"/>
      <c r="CP43" s="153"/>
      <c r="CQ43" s="153"/>
      <c r="CR43" s="153"/>
      <c r="CS43" s="153"/>
      <c r="CT43" s="153"/>
      <c r="CU43" s="153"/>
      <c r="CV43" s="153"/>
      <c r="CW43" s="153"/>
      <c r="CX43" s="153"/>
    </row>
    <row r="44" spans="1:102" ht="14.4" customHeight="1" x14ac:dyDescent="0.25">
      <c r="A44" s="5">
        <v>40</v>
      </c>
      <c r="B44" s="46">
        <v>45381</v>
      </c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3"/>
      <c r="BN44" s="153"/>
      <c r="BO44" s="153"/>
      <c r="BP44" s="153"/>
      <c r="BQ44" s="153"/>
      <c r="BR44" s="153"/>
      <c r="BS44" s="153"/>
      <c r="BT44" s="153"/>
      <c r="BU44" s="153"/>
      <c r="BV44" s="153"/>
      <c r="BW44" s="153"/>
      <c r="BX44" s="153"/>
      <c r="BY44" s="153"/>
      <c r="BZ44" s="153"/>
      <c r="CA44" s="153"/>
      <c r="CB44" s="153"/>
      <c r="CC44" s="153"/>
      <c r="CD44" s="153"/>
      <c r="CE44" s="153"/>
      <c r="CF44" s="153"/>
      <c r="CG44" s="153"/>
      <c r="CH44" s="153"/>
      <c r="CI44" s="153"/>
      <c r="CJ44" s="153"/>
      <c r="CK44" s="153"/>
      <c r="CL44" s="153"/>
      <c r="CM44" s="153"/>
      <c r="CN44" s="153"/>
      <c r="CO44" s="153"/>
      <c r="CP44" s="153"/>
      <c r="CQ44" s="153"/>
      <c r="CR44" s="153"/>
      <c r="CS44" s="153"/>
      <c r="CT44" s="153"/>
      <c r="CU44" s="153"/>
      <c r="CV44" s="153"/>
      <c r="CW44" s="153"/>
      <c r="CX44" s="153"/>
    </row>
    <row r="45" spans="1:102" ht="14.4" customHeight="1" x14ac:dyDescent="0.25">
      <c r="A45" s="5">
        <v>41</v>
      </c>
      <c r="B45" s="46">
        <v>45382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3"/>
      <c r="BN45" s="153"/>
      <c r="BO45" s="153"/>
      <c r="BP45" s="153"/>
      <c r="BQ45" s="153"/>
      <c r="BR45" s="153"/>
      <c r="BS45" s="153"/>
      <c r="BT45" s="153"/>
      <c r="BU45" s="153"/>
      <c r="BV45" s="153"/>
      <c r="BW45" s="153"/>
      <c r="BX45" s="153"/>
      <c r="BY45" s="153"/>
      <c r="BZ45" s="153"/>
      <c r="CA45" s="153"/>
      <c r="CB45" s="153"/>
      <c r="CC45" s="153"/>
      <c r="CD45" s="153"/>
      <c r="CE45" s="153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  <c r="CW45" s="153"/>
      <c r="CX45" s="153"/>
    </row>
    <row r="46" spans="1:102" ht="14.4" customHeight="1" x14ac:dyDescent="0.25">
      <c r="A46" s="5">
        <v>42</v>
      </c>
      <c r="B46" s="46">
        <v>45383</v>
      </c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3"/>
      <c r="BN46" s="153"/>
      <c r="BO46" s="153"/>
      <c r="BP46" s="153"/>
      <c r="BQ46" s="153"/>
      <c r="BR46" s="153"/>
      <c r="BS46" s="153"/>
      <c r="BT46" s="153"/>
      <c r="BU46" s="153"/>
      <c r="BV46" s="153"/>
      <c r="BW46" s="153"/>
      <c r="BX46" s="153"/>
      <c r="BY46" s="153"/>
      <c r="BZ46" s="153"/>
      <c r="CA46" s="153"/>
      <c r="CB46" s="153"/>
      <c r="CC46" s="153"/>
      <c r="CD46" s="153"/>
      <c r="CE46" s="153"/>
      <c r="CF46" s="153"/>
      <c r="CG46" s="153"/>
      <c r="CH46" s="153"/>
      <c r="CI46" s="153"/>
      <c r="CJ46" s="153"/>
      <c r="CK46" s="153"/>
      <c r="CL46" s="153"/>
      <c r="CM46" s="153"/>
      <c r="CN46" s="153"/>
      <c r="CO46" s="153"/>
      <c r="CP46" s="153"/>
      <c r="CQ46" s="153"/>
      <c r="CR46" s="153"/>
      <c r="CS46" s="153"/>
      <c r="CT46" s="153"/>
      <c r="CU46" s="153"/>
      <c r="CV46" s="153"/>
      <c r="CW46" s="153"/>
      <c r="CX46" s="153"/>
    </row>
    <row r="47" spans="1:102" ht="14.4" customHeight="1" x14ac:dyDescent="0.25">
      <c r="A47" s="5">
        <v>43</v>
      </c>
      <c r="B47" s="46">
        <v>45384</v>
      </c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153"/>
      <c r="BN47" s="153"/>
      <c r="BO47" s="153"/>
      <c r="BP47" s="153"/>
      <c r="BQ47" s="153"/>
      <c r="BR47" s="153"/>
      <c r="BS47" s="153"/>
      <c r="BT47" s="153"/>
      <c r="BU47" s="153"/>
      <c r="BV47" s="153"/>
      <c r="BW47" s="153"/>
      <c r="BX47" s="153"/>
      <c r="BY47" s="153"/>
      <c r="BZ47" s="153"/>
      <c r="CA47" s="153"/>
      <c r="CB47" s="153"/>
      <c r="CC47" s="153"/>
      <c r="CD47" s="153"/>
      <c r="CE47" s="153"/>
      <c r="CF47" s="153"/>
      <c r="CG47" s="153"/>
      <c r="CH47" s="153"/>
      <c r="CI47" s="153"/>
      <c r="CJ47" s="153"/>
      <c r="CK47" s="153"/>
      <c r="CL47" s="153"/>
      <c r="CM47" s="153"/>
      <c r="CN47" s="153"/>
      <c r="CO47" s="153"/>
      <c r="CP47" s="153"/>
      <c r="CQ47" s="153"/>
      <c r="CR47" s="153"/>
      <c r="CS47" s="153"/>
      <c r="CT47" s="153"/>
      <c r="CU47" s="153"/>
      <c r="CV47" s="153"/>
      <c r="CW47" s="153"/>
      <c r="CX47" s="153"/>
    </row>
    <row r="48" spans="1:102" ht="14.4" customHeight="1" x14ac:dyDescent="0.25">
      <c r="A48" s="5">
        <v>44</v>
      </c>
      <c r="B48" s="46">
        <v>45385</v>
      </c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3"/>
      <c r="BN48" s="153"/>
      <c r="BO48" s="153"/>
      <c r="BP48" s="153"/>
      <c r="BQ48" s="153"/>
      <c r="BR48" s="153"/>
      <c r="BS48" s="153"/>
      <c r="BT48" s="153"/>
      <c r="BU48" s="153"/>
      <c r="BV48" s="153"/>
      <c r="BW48" s="153"/>
      <c r="BX48" s="153"/>
      <c r="BY48" s="153"/>
      <c r="BZ48" s="153"/>
      <c r="CA48" s="153"/>
      <c r="CB48" s="153"/>
      <c r="CC48" s="153"/>
      <c r="CD48" s="153"/>
      <c r="CE48" s="153"/>
      <c r="CF48" s="153"/>
      <c r="CG48" s="153"/>
      <c r="CH48" s="153"/>
      <c r="CI48" s="153"/>
      <c r="CJ48" s="153"/>
      <c r="CK48" s="153"/>
      <c r="CL48" s="153"/>
      <c r="CM48" s="153"/>
      <c r="CN48" s="153"/>
      <c r="CO48" s="153"/>
      <c r="CP48" s="153"/>
      <c r="CQ48" s="153"/>
      <c r="CR48" s="153"/>
      <c r="CS48" s="153"/>
      <c r="CT48" s="153"/>
      <c r="CU48" s="153"/>
      <c r="CV48" s="153"/>
      <c r="CW48" s="153"/>
      <c r="CX48" s="153"/>
    </row>
    <row r="49" spans="1:102" ht="14.4" customHeight="1" x14ac:dyDescent="0.25">
      <c r="A49" s="5">
        <v>45</v>
      </c>
      <c r="B49" s="46">
        <v>45386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3"/>
      <c r="BN49" s="153"/>
      <c r="BO49" s="153"/>
      <c r="BP49" s="153"/>
      <c r="BQ49" s="153"/>
      <c r="BR49" s="153"/>
      <c r="BS49" s="153"/>
      <c r="BT49" s="153"/>
      <c r="BU49" s="153"/>
      <c r="BV49" s="153"/>
      <c r="BW49" s="153"/>
      <c r="BX49" s="153"/>
      <c r="BY49" s="153"/>
      <c r="BZ49" s="153"/>
      <c r="CA49" s="153"/>
      <c r="CB49" s="153"/>
      <c r="CC49" s="153"/>
      <c r="CD49" s="153"/>
      <c r="CE49" s="153"/>
      <c r="CF49" s="153"/>
      <c r="CG49" s="153"/>
      <c r="CH49" s="153"/>
      <c r="CI49" s="153"/>
      <c r="CJ49" s="153"/>
      <c r="CK49" s="153"/>
      <c r="CL49" s="153"/>
      <c r="CM49" s="153"/>
      <c r="CN49" s="153"/>
      <c r="CO49" s="153"/>
      <c r="CP49" s="153"/>
      <c r="CQ49" s="153"/>
      <c r="CR49" s="153"/>
      <c r="CS49" s="153"/>
      <c r="CT49" s="153"/>
      <c r="CU49" s="153"/>
      <c r="CV49" s="153"/>
      <c r="CW49" s="153"/>
      <c r="CX49" s="153"/>
    </row>
    <row r="50" spans="1:102" ht="14.4" customHeight="1" x14ac:dyDescent="0.25">
      <c r="A50" s="5">
        <v>46</v>
      </c>
      <c r="B50" s="46">
        <v>45387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153"/>
      <c r="BN50" s="153"/>
      <c r="BO50" s="153"/>
      <c r="BP50" s="153"/>
      <c r="BQ50" s="153"/>
      <c r="BR50" s="153"/>
      <c r="BS50" s="153"/>
      <c r="BT50" s="153"/>
      <c r="BU50" s="153"/>
      <c r="BV50" s="153"/>
      <c r="BW50" s="153"/>
      <c r="BX50" s="153"/>
      <c r="BY50" s="153"/>
      <c r="BZ50" s="153"/>
      <c r="CA50" s="153"/>
      <c r="CB50" s="153"/>
      <c r="CC50" s="153"/>
      <c r="CD50" s="153"/>
      <c r="CE50" s="153"/>
      <c r="CF50" s="153"/>
      <c r="CG50" s="153"/>
      <c r="CH50" s="153"/>
      <c r="CI50" s="153"/>
      <c r="CJ50" s="153"/>
      <c r="CK50" s="153"/>
      <c r="CL50" s="153"/>
      <c r="CM50" s="153"/>
      <c r="CN50" s="153"/>
      <c r="CO50" s="153"/>
      <c r="CP50" s="153"/>
      <c r="CQ50" s="153"/>
      <c r="CR50" s="153"/>
      <c r="CS50" s="153"/>
      <c r="CT50" s="153"/>
      <c r="CU50" s="153"/>
      <c r="CV50" s="153"/>
      <c r="CW50" s="153"/>
      <c r="CX50" s="153"/>
    </row>
    <row r="51" spans="1:102" ht="14.4" customHeight="1" x14ac:dyDescent="0.25">
      <c r="A51" s="5">
        <v>47</v>
      </c>
      <c r="B51" s="46">
        <v>45388</v>
      </c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  <c r="BJ51" s="153"/>
      <c r="BK51" s="153"/>
      <c r="BL51" s="153"/>
      <c r="BM51" s="153"/>
      <c r="BN51" s="153"/>
      <c r="BO51" s="153"/>
      <c r="BP51" s="153"/>
      <c r="BQ51" s="153"/>
      <c r="BR51" s="153"/>
      <c r="BS51" s="153"/>
      <c r="BT51" s="153"/>
      <c r="BU51" s="153"/>
      <c r="BV51" s="153"/>
      <c r="BW51" s="153"/>
      <c r="BX51" s="153"/>
      <c r="BY51" s="153"/>
      <c r="BZ51" s="153"/>
      <c r="CA51" s="153"/>
      <c r="CB51" s="153"/>
      <c r="CC51" s="153"/>
      <c r="CD51" s="153"/>
      <c r="CE51" s="153"/>
      <c r="CF51" s="153"/>
      <c r="CG51" s="153"/>
      <c r="CH51" s="153"/>
      <c r="CI51" s="153"/>
      <c r="CJ51" s="153"/>
      <c r="CK51" s="153"/>
      <c r="CL51" s="153"/>
      <c r="CM51" s="153"/>
      <c r="CN51" s="153"/>
      <c r="CO51" s="153"/>
      <c r="CP51" s="153"/>
      <c r="CQ51" s="153"/>
      <c r="CR51" s="153"/>
      <c r="CS51" s="153"/>
      <c r="CT51" s="153"/>
      <c r="CU51" s="153"/>
      <c r="CV51" s="153"/>
      <c r="CW51" s="153"/>
      <c r="CX51" s="153"/>
    </row>
    <row r="52" spans="1:102" ht="14.4" customHeight="1" x14ac:dyDescent="0.25">
      <c r="A52" s="132" t="s">
        <v>119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135" t="s">
        <v>50</v>
      </c>
      <c r="BC52" s="135"/>
      <c r="BD52" s="135"/>
      <c r="BE52" s="135"/>
      <c r="BF52" s="135"/>
      <c r="BG52" s="135"/>
      <c r="BH52" s="135"/>
      <c r="BI52" s="135"/>
      <c r="BJ52" s="135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</row>
    <row r="53" spans="1:102" x14ac:dyDescent="0.25">
      <c r="A53" s="5">
        <v>1</v>
      </c>
      <c r="B53" s="46">
        <v>45389</v>
      </c>
      <c r="C53" s="5">
        <v>252000</v>
      </c>
      <c r="D53" s="5">
        <v>29</v>
      </c>
      <c r="E53" s="5">
        <v>32</v>
      </c>
      <c r="F53" s="5">
        <v>6.5</v>
      </c>
      <c r="G53" s="5">
        <v>7</v>
      </c>
      <c r="H53" s="48">
        <v>7.3</v>
      </c>
      <c r="I53" s="5">
        <v>7.1</v>
      </c>
      <c r="J53" s="5">
        <v>0.04</v>
      </c>
      <c r="K53" s="5">
        <v>18</v>
      </c>
      <c r="M53" s="5">
        <f>2820*80</f>
        <v>225600</v>
      </c>
      <c r="N53" s="5">
        <v>28</v>
      </c>
      <c r="O53" s="5">
        <v>31</v>
      </c>
      <c r="P53" s="5">
        <v>5.8</v>
      </c>
      <c r="Q53" s="5">
        <v>7</v>
      </c>
      <c r="R53" s="5">
        <v>7.5</v>
      </c>
      <c r="S53" s="48">
        <v>7.7296577218601996</v>
      </c>
      <c r="T53" s="5">
        <v>0.05</v>
      </c>
      <c r="U53" s="5">
        <v>17</v>
      </c>
      <c r="W53" s="5">
        <f>2820*79</f>
        <v>222780</v>
      </c>
      <c r="X53" s="5">
        <v>26</v>
      </c>
      <c r="Y53" s="5">
        <v>31</v>
      </c>
      <c r="Z53" s="5">
        <v>5.8</v>
      </c>
      <c r="AA53" s="48">
        <v>6.3208991163743065</v>
      </c>
      <c r="AB53" s="48">
        <v>7.5391089190300491</v>
      </c>
      <c r="AC53" s="48">
        <v>7.3120783436175572</v>
      </c>
      <c r="AD53" s="5">
        <v>0.02</v>
      </c>
      <c r="AE53" s="5">
        <v>20</v>
      </c>
      <c r="AG53" s="5">
        <f>2820*80</f>
        <v>225600</v>
      </c>
      <c r="AH53" s="5">
        <v>26</v>
      </c>
      <c r="AI53" s="5">
        <v>31</v>
      </c>
      <c r="AJ53" s="5">
        <v>6.1</v>
      </c>
      <c r="AK53" s="48">
        <v>6.0589340327132337</v>
      </c>
      <c r="AL53" s="48">
        <v>7.2549287080034048</v>
      </c>
      <c r="AM53" s="48">
        <v>7.4846666742457071</v>
      </c>
      <c r="AN53" s="5">
        <v>0.08</v>
      </c>
      <c r="AO53" s="5">
        <v>17</v>
      </c>
      <c r="AQ53" s="5">
        <f>2820*80</f>
        <v>225600</v>
      </c>
      <c r="AR53" s="5">
        <v>26</v>
      </c>
      <c r="AS53" s="5">
        <v>32</v>
      </c>
      <c r="AT53" s="5">
        <v>6.7</v>
      </c>
      <c r="AU53" s="48">
        <v>5.6243413603631716</v>
      </c>
      <c r="AV53" s="48">
        <v>7.2522335044179549</v>
      </c>
      <c r="AW53" s="48">
        <v>7.4125284839060255</v>
      </c>
      <c r="AX53" s="5">
        <v>0.05</v>
      </c>
      <c r="AY53" s="5">
        <v>19</v>
      </c>
      <c r="AZ53" s="5">
        <v>1</v>
      </c>
      <c r="BA53" s="46">
        <v>45389</v>
      </c>
      <c r="BB53" s="5">
        <v>252000</v>
      </c>
      <c r="BC53" s="5">
        <v>29</v>
      </c>
      <c r="BD53" s="5">
        <v>29</v>
      </c>
      <c r="BE53" s="5">
        <v>5.9</v>
      </c>
      <c r="BF53" s="48">
        <v>6.9189922114810658</v>
      </c>
      <c r="BG53" s="48">
        <v>7.342074671251531</v>
      </c>
      <c r="BH53" s="48">
        <v>7.3525737603236836</v>
      </c>
      <c r="BI53" s="5">
        <v>0.04</v>
      </c>
      <c r="BJ53" s="5">
        <v>16</v>
      </c>
      <c r="BL53" s="5">
        <f>2820*79</f>
        <v>222780</v>
      </c>
      <c r="BM53" s="5">
        <v>26</v>
      </c>
      <c r="BN53" s="5">
        <v>32</v>
      </c>
      <c r="BO53" s="5">
        <v>7</v>
      </c>
      <c r="BP53" s="48">
        <v>5.9280206476927333</v>
      </c>
      <c r="BQ53" s="70">
        <v>7.5767547066063212</v>
      </c>
      <c r="BR53" s="48">
        <v>7.4215101365718263</v>
      </c>
      <c r="BS53" s="5">
        <v>0.02</v>
      </c>
      <c r="BT53" s="5">
        <v>23</v>
      </c>
      <c r="BV53" s="5">
        <f>2820*80</f>
        <v>225600</v>
      </c>
      <c r="BW53" s="5">
        <v>27</v>
      </c>
      <c r="BX53" s="5">
        <v>29</v>
      </c>
      <c r="BY53" s="5">
        <v>6.2</v>
      </c>
      <c r="BZ53" s="48">
        <v>5.7238541906799583</v>
      </c>
      <c r="CA53" s="48">
        <v>7.2762011827270641</v>
      </c>
      <c r="CB53" s="48">
        <v>7.7348716447731114</v>
      </c>
      <c r="CC53" s="5">
        <v>0.05</v>
      </c>
      <c r="CD53" s="5">
        <v>20</v>
      </c>
      <c r="CF53" s="5">
        <f>2820*80</f>
        <v>225600</v>
      </c>
      <c r="CG53" s="5">
        <v>29</v>
      </c>
      <c r="CH53" s="5">
        <v>30</v>
      </c>
      <c r="CI53" s="5">
        <v>7.1</v>
      </c>
      <c r="CJ53" s="48">
        <v>6.9458686362389166</v>
      </c>
      <c r="CK53" s="48">
        <v>7.3345713287676384</v>
      </c>
      <c r="CL53" s="48">
        <v>7.4421229442713477</v>
      </c>
      <c r="CM53" s="5">
        <v>0.03</v>
      </c>
      <c r="CN53" s="5">
        <v>25</v>
      </c>
      <c r="CP53" s="5">
        <f>2820*79</f>
        <v>222780</v>
      </c>
      <c r="CQ53" s="5">
        <v>26</v>
      </c>
      <c r="CR53" s="5">
        <v>31</v>
      </c>
      <c r="CS53" s="5">
        <v>6</v>
      </c>
      <c r="CT53" s="48">
        <v>5.8496515466892127</v>
      </c>
      <c r="CU53" s="48">
        <v>7.5070058515434379</v>
      </c>
      <c r="CV53" s="48">
        <v>7.5979462884433051</v>
      </c>
      <c r="CW53" s="5">
        <v>7.0000000000000007E-2</v>
      </c>
      <c r="CX53" s="5">
        <v>25</v>
      </c>
    </row>
    <row r="54" spans="1:102" x14ac:dyDescent="0.25">
      <c r="A54" s="5">
        <v>2</v>
      </c>
      <c r="B54" s="46">
        <v>45390</v>
      </c>
      <c r="C54" s="5">
        <v>252000</v>
      </c>
      <c r="D54" s="5">
        <v>28</v>
      </c>
      <c r="E54" s="5">
        <v>29</v>
      </c>
      <c r="F54" s="5">
        <v>6.2</v>
      </c>
      <c r="G54" s="5">
        <v>6.8</v>
      </c>
      <c r="H54" s="48">
        <v>7.7</v>
      </c>
      <c r="I54" s="5">
        <v>7.7</v>
      </c>
      <c r="K54" s="5">
        <v>19</v>
      </c>
      <c r="M54" s="5">
        <f t="shared" ref="M54:M87" si="0">2820*80</f>
        <v>225600</v>
      </c>
      <c r="N54" s="5">
        <v>28</v>
      </c>
      <c r="O54" s="5">
        <v>32</v>
      </c>
      <c r="P54" s="5">
        <v>6.4</v>
      </c>
      <c r="Q54" s="5">
        <v>6.3</v>
      </c>
      <c r="R54" s="5">
        <v>7.1</v>
      </c>
      <c r="S54" s="48">
        <v>7.7593921115103193</v>
      </c>
      <c r="U54" s="5">
        <v>23</v>
      </c>
      <c r="W54" s="5">
        <f t="shared" ref="W54:W87" si="1">2820*79</f>
        <v>222780</v>
      </c>
      <c r="X54" s="5">
        <v>26</v>
      </c>
      <c r="Y54" s="5">
        <v>31</v>
      </c>
      <c r="Z54" s="5">
        <v>6.9</v>
      </c>
      <c r="AA54" s="48">
        <v>7.0208883435104346</v>
      </c>
      <c r="AB54" s="48">
        <v>7.1003723668453906</v>
      </c>
      <c r="AC54" s="48">
        <v>7.3513850096416675</v>
      </c>
      <c r="AE54" s="5">
        <v>24</v>
      </c>
      <c r="AG54" s="5">
        <f t="shared" ref="AG54:AG87" si="2">2820*80</f>
        <v>225600</v>
      </c>
      <c r="AH54" s="5">
        <v>26</v>
      </c>
      <c r="AI54" s="5">
        <v>29</v>
      </c>
      <c r="AJ54" s="5">
        <v>6.7</v>
      </c>
      <c r="AK54" s="48">
        <v>5.7520144948746434</v>
      </c>
      <c r="AL54" s="48">
        <v>7.3611252764497372</v>
      </c>
      <c r="AM54" s="48">
        <v>7.7346150263189442</v>
      </c>
      <c r="AO54" s="5">
        <v>21</v>
      </c>
      <c r="AQ54" s="5">
        <f t="shared" ref="AQ54:AQ87" si="3">2820*80</f>
        <v>225600</v>
      </c>
      <c r="AR54" s="5">
        <v>27</v>
      </c>
      <c r="AS54" s="5">
        <v>32</v>
      </c>
      <c r="AT54" s="5">
        <v>6.8</v>
      </c>
      <c r="AU54" s="48">
        <v>5.7840017716623198</v>
      </c>
      <c r="AV54" s="48">
        <v>7.2691501736294972</v>
      </c>
      <c r="AW54" s="48">
        <v>7.260005752243603</v>
      </c>
      <c r="AY54" s="5">
        <v>22</v>
      </c>
      <c r="AZ54" s="5">
        <v>2</v>
      </c>
      <c r="BA54" s="46">
        <v>45390</v>
      </c>
      <c r="BB54" s="5">
        <v>252000</v>
      </c>
      <c r="BC54" s="5">
        <v>29</v>
      </c>
      <c r="BD54" s="5">
        <v>30</v>
      </c>
      <c r="BE54" s="5">
        <v>6</v>
      </c>
      <c r="BF54" s="48">
        <v>7.1581658699938986</v>
      </c>
      <c r="BG54" s="48">
        <v>7.4319069750729021</v>
      </c>
      <c r="BH54" s="48">
        <v>7.1070217408133711</v>
      </c>
      <c r="BJ54" s="5">
        <v>15</v>
      </c>
      <c r="BL54" s="5">
        <f t="shared" ref="BL54:BL87" si="4">2820*79</f>
        <v>222780</v>
      </c>
      <c r="BM54" s="5">
        <v>28</v>
      </c>
      <c r="BN54" s="5">
        <v>31</v>
      </c>
      <c r="BO54" s="5">
        <v>6.2</v>
      </c>
      <c r="BP54" s="48">
        <v>6.0923232998412544</v>
      </c>
      <c r="BQ54" s="70">
        <v>7.3725002482150224</v>
      </c>
      <c r="BR54" s="48">
        <v>7.5456710849596345</v>
      </c>
      <c r="BT54" s="5">
        <v>19</v>
      </c>
      <c r="BV54" s="5">
        <f t="shared" ref="BV54:BV87" si="5">2820*80</f>
        <v>225600</v>
      </c>
      <c r="BW54" s="5">
        <v>27</v>
      </c>
      <c r="BX54" s="5">
        <v>29</v>
      </c>
      <c r="BY54" s="5">
        <v>6.6</v>
      </c>
      <c r="BZ54" s="48">
        <v>6.9324867453620236</v>
      </c>
      <c r="CA54" s="48">
        <v>7.6081770515666136</v>
      </c>
      <c r="CB54" s="48">
        <v>7.5257682569818893</v>
      </c>
      <c r="CD54" s="5">
        <v>25</v>
      </c>
      <c r="CF54" s="5">
        <f t="shared" ref="CF54:CF87" si="6">2820*80</f>
        <v>225600</v>
      </c>
      <c r="CG54" s="5">
        <v>28</v>
      </c>
      <c r="CH54" s="5">
        <v>32</v>
      </c>
      <c r="CI54" s="5">
        <v>5.9</v>
      </c>
      <c r="CJ54" s="48">
        <v>6.2775264560822475</v>
      </c>
      <c r="CK54" s="48">
        <v>7.4017880098487474</v>
      </c>
      <c r="CL54" s="48">
        <v>7.749444678507408</v>
      </c>
      <c r="CN54" s="5">
        <v>18</v>
      </c>
      <c r="CP54" s="5">
        <f t="shared" ref="CP54:CP87" si="7">2820*79</f>
        <v>222780</v>
      </c>
      <c r="CQ54" s="5">
        <v>28</v>
      </c>
      <c r="CR54" s="5">
        <v>32</v>
      </c>
      <c r="CS54" s="5">
        <v>6.4</v>
      </c>
      <c r="CT54" s="48">
        <v>5.6959711259240908</v>
      </c>
      <c r="CU54" s="48">
        <v>7.2425993984622803</v>
      </c>
      <c r="CV54" s="48">
        <v>7.3217365366161342</v>
      </c>
      <c r="CX54" s="5">
        <v>20</v>
      </c>
    </row>
    <row r="55" spans="1:102" x14ac:dyDescent="0.25">
      <c r="A55" s="5">
        <v>3</v>
      </c>
      <c r="B55" s="46">
        <v>45391</v>
      </c>
      <c r="C55" s="5">
        <v>252000</v>
      </c>
      <c r="D55" s="5">
        <v>26</v>
      </c>
      <c r="E55" s="5">
        <v>31</v>
      </c>
      <c r="F55" s="5">
        <v>6.7</v>
      </c>
      <c r="G55" s="5">
        <v>7</v>
      </c>
      <c r="H55" s="48">
        <v>7.3</v>
      </c>
      <c r="I55" s="5">
        <v>7.2</v>
      </c>
      <c r="K55" s="5">
        <v>17</v>
      </c>
      <c r="M55" s="5">
        <f t="shared" si="0"/>
        <v>225600</v>
      </c>
      <c r="N55" s="5">
        <v>26</v>
      </c>
      <c r="O55" s="5">
        <v>29</v>
      </c>
      <c r="P55" s="5">
        <v>6.4</v>
      </c>
      <c r="Q55" s="5">
        <v>6.6</v>
      </c>
      <c r="R55" s="5">
        <v>7.5</v>
      </c>
      <c r="S55" s="48">
        <v>7.1433889066423957</v>
      </c>
      <c r="U55" s="5">
        <v>24</v>
      </c>
      <c r="W55" s="5">
        <f t="shared" si="1"/>
        <v>222780</v>
      </c>
      <c r="X55" s="5">
        <v>27</v>
      </c>
      <c r="Y55" s="5">
        <v>32</v>
      </c>
      <c r="Z55" s="5">
        <v>6.7</v>
      </c>
      <c r="AA55" s="48">
        <v>6.4898134123524915</v>
      </c>
      <c r="AB55" s="48">
        <v>7.3951902246285348</v>
      </c>
      <c r="AC55" s="48">
        <v>7.1837556460138297</v>
      </c>
      <c r="AE55" s="5">
        <v>19</v>
      </c>
      <c r="AG55" s="5">
        <f t="shared" si="2"/>
        <v>225600</v>
      </c>
      <c r="AH55" s="5">
        <v>27</v>
      </c>
      <c r="AI55" s="5">
        <v>31</v>
      </c>
      <c r="AJ55" s="5">
        <v>6.3</v>
      </c>
      <c r="AK55" s="48">
        <v>5.8282878838894066</v>
      </c>
      <c r="AL55" s="48">
        <v>7.1454627523007597</v>
      </c>
      <c r="AM55" s="48">
        <v>7.2111193514291907</v>
      </c>
      <c r="AO55" s="5">
        <v>24</v>
      </c>
      <c r="AQ55" s="5">
        <f t="shared" si="3"/>
        <v>225600</v>
      </c>
      <c r="AR55" s="5">
        <v>26</v>
      </c>
      <c r="AS55" s="5">
        <v>29</v>
      </c>
      <c r="AT55" s="5">
        <v>5.7</v>
      </c>
      <c r="AU55" s="48">
        <v>6.450962140591284</v>
      </c>
      <c r="AV55" s="48">
        <v>7.338982467761169</v>
      </c>
      <c r="AW55" s="48">
        <v>7.6233605561877269</v>
      </c>
      <c r="AY55" s="5">
        <v>24</v>
      </c>
      <c r="AZ55" s="5">
        <v>3</v>
      </c>
      <c r="BA55" s="46">
        <v>45391</v>
      </c>
      <c r="BB55" s="5">
        <v>252000</v>
      </c>
      <c r="BC55" s="5">
        <v>29</v>
      </c>
      <c r="BD55" s="5">
        <v>31</v>
      </c>
      <c r="BE55" s="5">
        <v>5.7</v>
      </c>
      <c r="BF55" s="48">
        <v>6.5680784864233166</v>
      </c>
      <c r="BG55" s="48">
        <v>7.5436664960224222</v>
      </c>
      <c r="BH55" s="48">
        <v>7.1900678610546533</v>
      </c>
      <c r="BJ55" s="5">
        <v>15</v>
      </c>
      <c r="BL55" s="5">
        <f t="shared" si="4"/>
        <v>222780</v>
      </c>
      <c r="BM55" s="5">
        <v>26</v>
      </c>
      <c r="BN55" s="5">
        <v>32</v>
      </c>
      <c r="BO55" s="5">
        <v>6.6</v>
      </c>
      <c r="BP55" s="48">
        <v>6.9124158273181093</v>
      </c>
      <c r="BQ55" s="70">
        <v>7.5044805949740105</v>
      </c>
      <c r="BR55" s="48">
        <v>7.1072222249539427</v>
      </c>
      <c r="BT55" s="5">
        <v>21</v>
      </c>
      <c r="BV55" s="5">
        <f t="shared" si="5"/>
        <v>225600</v>
      </c>
      <c r="BW55" s="5">
        <v>29</v>
      </c>
      <c r="BX55" s="5">
        <v>29</v>
      </c>
      <c r="BY55" s="5">
        <v>5.7</v>
      </c>
      <c r="BZ55" s="48">
        <v>6.7073783734615597</v>
      </c>
      <c r="CA55" s="48">
        <v>7.1933119246762907</v>
      </c>
      <c r="CB55" s="48">
        <v>7.4764707853806547</v>
      </c>
      <c r="CD55" s="5">
        <v>22</v>
      </c>
      <c r="CF55" s="5">
        <f t="shared" si="6"/>
        <v>225600</v>
      </c>
      <c r="CG55" s="5">
        <v>26</v>
      </c>
      <c r="CH55" s="5">
        <v>31</v>
      </c>
      <c r="CI55" s="5">
        <v>5.5</v>
      </c>
      <c r="CJ55" s="48">
        <v>5.5291288984625986</v>
      </c>
      <c r="CK55" s="48">
        <v>7.1508139911049771</v>
      </c>
      <c r="CL55" s="48">
        <v>7.1076967878309993</v>
      </c>
      <c r="CN55" s="5">
        <v>22</v>
      </c>
      <c r="CP55" s="5">
        <f t="shared" si="7"/>
        <v>222780</v>
      </c>
      <c r="CQ55" s="5">
        <v>29</v>
      </c>
      <c r="CR55" s="5">
        <v>30</v>
      </c>
      <c r="CS55" s="5">
        <v>6.1</v>
      </c>
      <c r="CT55" s="48">
        <v>6.6953210705435229</v>
      </c>
      <c r="CU55" s="48">
        <v>7.2088363815625955</v>
      </c>
      <c r="CV55" s="48">
        <v>7.7479165606186076</v>
      </c>
      <c r="CX55" s="5">
        <v>19</v>
      </c>
    </row>
    <row r="56" spans="1:102" x14ac:dyDescent="0.25">
      <c r="A56" s="5">
        <v>4</v>
      </c>
      <c r="B56" s="46">
        <v>45392</v>
      </c>
      <c r="C56" s="5">
        <v>252000</v>
      </c>
      <c r="D56" s="5">
        <v>27</v>
      </c>
      <c r="E56" s="5">
        <v>31</v>
      </c>
      <c r="F56" s="5">
        <v>5.9</v>
      </c>
      <c r="G56" s="5">
        <v>7</v>
      </c>
      <c r="H56" s="48">
        <v>7.6</v>
      </c>
      <c r="I56" s="5">
        <v>7.3</v>
      </c>
      <c r="K56" s="5">
        <v>24</v>
      </c>
      <c r="M56" s="5">
        <f t="shared" si="0"/>
        <v>225600</v>
      </c>
      <c r="N56" s="5">
        <v>28</v>
      </c>
      <c r="O56" s="5">
        <v>31</v>
      </c>
      <c r="P56" s="5">
        <v>6.5</v>
      </c>
      <c r="Q56" s="5">
        <v>6.8</v>
      </c>
      <c r="R56" s="5">
        <v>7.2</v>
      </c>
      <c r="S56" s="48">
        <v>7.5568040400854457</v>
      </c>
      <c r="U56" s="5">
        <v>25</v>
      </c>
      <c r="W56" s="5">
        <f t="shared" si="1"/>
        <v>222780</v>
      </c>
      <c r="X56" s="5">
        <v>26</v>
      </c>
      <c r="Y56" s="5">
        <v>32</v>
      </c>
      <c r="Z56" s="5">
        <v>6</v>
      </c>
      <c r="AA56" s="48">
        <v>5.8228677575420029</v>
      </c>
      <c r="AB56" s="48">
        <v>7.3565511183166681</v>
      </c>
      <c r="AC56" s="48">
        <v>7.5349404974894991</v>
      </c>
      <c r="AE56" s="5">
        <v>18</v>
      </c>
      <c r="AG56" s="5">
        <f t="shared" si="2"/>
        <v>225600</v>
      </c>
      <c r="AH56" s="5">
        <v>28</v>
      </c>
      <c r="AI56" s="5">
        <v>31</v>
      </c>
      <c r="AJ56" s="5">
        <v>6.6</v>
      </c>
      <c r="AK56" s="48">
        <v>6.7742381527963795</v>
      </c>
      <c r="AL56" s="48">
        <v>7.5980917137969879</v>
      </c>
      <c r="AM56" s="48">
        <v>7.3403744461680427</v>
      </c>
      <c r="AO56" s="5">
        <v>25</v>
      </c>
      <c r="AQ56" s="5">
        <f t="shared" si="3"/>
        <v>225600</v>
      </c>
      <c r="AR56" s="5">
        <v>27</v>
      </c>
      <c r="AS56" s="5">
        <v>32</v>
      </c>
      <c r="AT56" s="5">
        <v>6.7</v>
      </c>
      <c r="AU56" s="48">
        <v>6.768374812811925</v>
      </c>
      <c r="AV56" s="48">
        <v>7.5321404996162222</v>
      </c>
      <c r="AW56" s="48">
        <v>7.3130580502806497</v>
      </c>
      <c r="AY56" s="5">
        <v>15</v>
      </c>
      <c r="AZ56" s="5">
        <v>4</v>
      </c>
      <c r="BA56" s="46">
        <v>45392</v>
      </c>
      <c r="BB56" s="5">
        <v>252000</v>
      </c>
      <c r="BC56" s="5">
        <v>28</v>
      </c>
      <c r="BD56" s="5">
        <v>30</v>
      </c>
      <c r="BE56" s="5">
        <v>6.2</v>
      </c>
      <c r="BF56" s="48">
        <v>6.322043219967882</v>
      </c>
      <c r="BG56" s="48">
        <v>7.4962635882056361</v>
      </c>
      <c r="BH56" s="48">
        <v>7.6233841961284838</v>
      </c>
      <c r="BJ56" s="5">
        <v>19</v>
      </c>
      <c r="BL56" s="5">
        <f t="shared" si="4"/>
        <v>222780</v>
      </c>
      <c r="BM56" s="5">
        <v>29</v>
      </c>
      <c r="BN56" s="5">
        <v>30</v>
      </c>
      <c r="BO56" s="5">
        <v>6.7</v>
      </c>
      <c r="BP56" s="48">
        <v>6.5777090510178722</v>
      </c>
      <c r="BQ56" s="70">
        <v>7.1072409858718171</v>
      </c>
      <c r="BR56" s="48">
        <v>7.4149640947121327</v>
      </c>
      <c r="BT56" s="5">
        <v>18</v>
      </c>
      <c r="BV56" s="5">
        <f t="shared" si="5"/>
        <v>225600</v>
      </c>
      <c r="BW56" s="5">
        <v>29</v>
      </c>
      <c r="BX56" s="5">
        <v>32</v>
      </c>
      <c r="BY56" s="5">
        <v>6.8</v>
      </c>
      <c r="BZ56" s="48">
        <v>6.5039100067986588</v>
      </c>
      <c r="CA56" s="48">
        <v>7.5801430462534736</v>
      </c>
      <c r="CB56" s="48">
        <v>7.3598634847496411</v>
      </c>
      <c r="CD56" s="5">
        <v>22</v>
      </c>
      <c r="CF56" s="5">
        <f t="shared" si="6"/>
        <v>225600</v>
      </c>
      <c r="CG56" s="5">
        <v>28</v>
      </c>
      <c r="CH56" s="5">
        <v>31</v>
      </c>
      <c r="CI56" s="5">
        <v>6.8</v>
      </c>
      <c r="CJ56" s="48">
        <v>6.5930656415423403</v>
      </c>
      <c r="CK56" s="48">
        <v>7.145095760564109</v>
      </c>
      <c r="CL56" s="48">
        <v>7.5746590016084552</v>
      </c>
      <c r="CN56" s="5">
        <v>19</v>
      </c>
      <c r="CP56" s="5">
        <f t="shared" si="7"/>
        <v>222780</v>
      </c>
      <c r="CQ56" s="5">
        <v>27</v>
      </c>
      <c r="CR56" s="5">
        <v>32</v>
      </c>
      <c r="CS56" s="5">
        <v>7.1</v>
      </c>
      <c r="CT56" s="48">
        <v>6.2252948906860164</v>
      </c>
      <c r="CU56" s="48">
        <v>7.4753429312054935</v>
      </c>
      <c r="CV56" s="48">
        <v>7.1915961506915522</v>
      </c>
      <c r="CX56" s="5">
        <v>19</v>
      </c>
    </row>
    <row r="57" spans="1:102" x14ac:dyDescent="0.25">
      <c r="A57" s="5">
        <v>5</v>
      </c>
      <c r="B57" s="46">
        <v>45393</v>
      </c>
      <c r="C57" s="5">
        <v>252000</v>
      </c>
      <c r="D57" s="5">
        <v>26</v>
      </c>
      <c r="E57" s="5">
        <v>31</v>
      </c>
      <c r="F57" s="5">
        <v>7</v>
      </c>
      <c r="G57" s="5">
        <v>6.2</v>
      </c>
      <c r="H57" s="48">
        <v>7.6</v>
      </c>
      <c r="I57" s="5">
        <v>7.7</v>
      </c>
      <c r="K57" s="5">
        <v>23</v>
      </c>
      <c r="M57" s="5">
        <f t="shared" si="0"/>
        <v>225600</v>
      </c>
      <c r="N57" s="5">
        <v>28</v>
      </c>
      <c r="O57" s="5">
        <v>30</v>
      </c>
      <c r="P57" s="5">
        <v>6.7</v>
      </c>
      <c r="Q57" s="5">
        <v>6.9</v>
      </c>
      <c r="R57" s="5">
        <v>7.6</v>
      </c>
      <c r="S57" s="48">
        <v>7.3750293517645646</v>
      </c>
      <c r="U57" s="5">
        <v>24</v>
      </c>
      <c r="W57" s="5">
        <f t="shared" si="1"/>
        <v>222780</v>
      </c>
      <c r="X57" s="5">
        <v>28</v>
      </c>
      <c r="Y57" s="5">
        <v>30</v>
      </c>
      <c r="Z57" s="5">
        <v>5.9</v>
      </c>
      <c r="AA57" s="48">
        <v>5.8053297566858362</v>
      </c>
      <c r="AB57" s="48">
        <v>7.5508837971270317</v>
      </c>
      <c r="AC57" s="48">
        <v>7.4388229562559713</v>
      </c>
      <c r="AE57" s="5">
        <v>20</v>
      </c>
      <c r="AG57" s="5">
        <f t="shared" si="2"/>
        <v>225600</v>
      </c>
      <c r="AH57" s="5">
        <v>26</v>
      </c>
      <c r="AI57" s="5">
        <v>31</v>
      </c>
      <c r="AJ57" s="5">
        <v>5.9</v>
      </c>
      <c r="AK57" s="48">
        <v>6.9706818953585605</v>
      </c>
      <c r="AL57" s="48">
        <v>7.181670650039373</v>
      </c>
      <c r="AM57" s="48">
        <v>7.672751169628409</v>
      </c>
      <c r="AO57" s="5">
        <v>23</v>
      </c>
      <c r="AQ57" s="5">
        <f t="shared" si="3"/>
        <v>225600</v>
      </c>
      <c r="AR57" s="5">
        <v>27</v>
      </c>
      <c r="AS57" s="5">
        <v>30</v>
      </c>
      <c r="AT57" s="5">
        <v>6.8</v>
      </c>
      <c r="AU57" s="48">
        <v>6.3433218657260282</v>
      </c>
      <c r="AV57" s="48">
        <v>7.5212757327983901</v>
      </c>
      <c r="AW57" s="48">
        <v>7.706302921329458</v>
      </c>
      <c r="AY57" s="5">
        <v>15</v>
      </c>
      <c r="AZ57" s="5">
        <v>5</v>
      </c>
      <c r="BA57" s="46">
        <v>45393</v>
      </c>
      <c r="BB57" s="5">
        <v>252000</v>
      </c>
      <c r="BC57" s="5">
        <v>26</v>
      </c>
      <c r="BD57" s="5">
        <v>31</v>
      </c>
      <c r="BE57" s="5">
        <v>6.3</v>
      </c>
      <c r="BF57" s="48">
        <v>6.903823216692178</v>
      </c>
      <c r="BG57" s="48">
        <v>7.3094323894724091</v>
      </c>
      <c r="BH57" s="48">
        <v>7.6087262638662549</v>
      </c>
      <c r="BJ57" s="5">
        <v>17</v>
      </c>
      <c r="BL57" s="5">
        <f t="shared" si="4"/>
        <v>222780</v>
      </c>
      <c r="BM57" s="5">
        <v>26</v>
      </c>
      <c r="BN57" s="5">
        <v>29</v>
      </c>
      <c r="BO57" s="5">
        <v>6</v>
      </c>
      <c r="BP57" s="48">
        <v>5.6087079717290287</v>
      </c>
      <c r="BQ57" s="70">
        <v>7.692883595695811</v>
      </c>
      <c r="BR57" s="48">
        <v>7.2993385271938696</v>
      </c>
      <c r="BT57" s="5">
        <v>18</v>
      </c>
      <c r="BV57" s="5">
        <f t="shared" si="5"/>
        <v>225600</v>
      </c>
      <c r="BW57" s="5">
        <v>27</v>
      </c>
      <c r="BX57" s="5">
        <v>30</v>
      </c>
      <c r="BY57" s="5">
        <v>5.7</v>
      </c>
      <c r="BZ57" s="48">
        <v>5.7939791652301249</v>
      </c>
      <c r="CA57" s="48">
        <v>7.6651034585369535</v>
      </c>
      <c r="CB57" s="48">
        <v>7.7756720981238434</v>
      </c>
      <c r="CD57" s="5">
        <v>18</v>
      </c>
      <c r="CF57" s="5">
        <f t="shared" si="6"/>
        <v>225600</v>
      </c>
      <c r="CG57" s="5">
        <v>27</v>
      </c>
      <c r="CH57" s="5">
        <v>29</v>
      </c>
      <c r="CI57" s="5">
        <v>5.8</v>
      </c>
      <c r="CJ57" s="48">
        <v>7.0540386874690979</v>
      </c>
      <c r="CK57" s="48">
        <v>7.577833319916893</v>
      </c>
      <c r="CL57" s="48">
        <v>7.1563707278473814</v>
      </c>
      <c r="CN57" s="5">
        <v>25</v>
      </c>
      <c r="CP57" s="5">
        <f t="shared" si="7"/>
        <v>222780</v>
      </c>
      <c r="CQ57" s="5">
        <v>26</v>
      </c>
      <c r="CR57" s="5">
        <v>30</v>
      </c>
      <c r="CS57" s="5">
        <v>6.3</v>
      </c>
      <c r="CT57" s="48">
        <v>5.8266797361067315</v>
      </c>
      <c r="CU57" s="48">
        <v>7.2311944606352041</v>
      </c>
      <c r="CV57" s="48">
        <v>7.4810606517393321</v>
      </c>
      <c r="CX57" s="5">
        <v>19</v>
      </c>
    </row>
    <row r="58" spans="1:102" x14ac:dyDescent="0.25">
      <c r="A58" s="5">
        <v>6</v>
      </c>
      <c r="B58" s="46">
        <v>45394</v>
      </c>
      <c r="C58" s="5">
        <v>252000</v>
      </c>
      <c r="D58" s="5">
        <v>29</v>
      </c>
      <c r="E58" s="5">
        <v>31</v>
      </c>
      <c r="F58" s="5">
        <v>6.5</v>
      </c>
      <c r="G58" s="5">
        <v>6.9</v>
      </c>
      <c r="H58" s="48">
        <v>7.1</v>
      </c>
      <c r="I58" s="5">
        <v>7.1</v>
      </c>
      <c r="K58" s="5">
        <v>20</v>
      </c>
      <c r="M58" s="5">
        <f t="shared" si="0"/>
        <v>225600</v>
      </c>
      <c r="N58" s="5">
        <v>28</v>
      </c>
      <c r="O58" s="5">
        <v>32</v>
      </c>
      <c r="P58" s="5">
        <v>6</v>
      </c>
      <c r="Q58" s="5">
        <v>5.6</v>
      </c>
      <c r="R58" s="5">
        <v>7.6</v>
      </c>
      <c r="S58" s="48">
        <v>7.4129031400936913</v>
      </c>
      <c r="U58" s="5">
        <v>16</v>
      </c>
      <c r="W58" s="5">
        <f t="shared" si="1"/>
        <v>222780</v>
      </c>
      <c r="X58" s="5">
        <v>29</v>
      </c>
      <c r="Y58" s="5">
        <v>31</v>
      </c>
      <c r="Z58" s="5">
        <v>6.7</v>
      </c>
      <c r="AA58" s="48">
        <v>6.4100182709038291</v>
      </c>
      <c r="AB58" s="48">
        <v>7.4848093940783924</v>
      </c>
      <c r="AC58" s="48">
        <v>7.7073635601596298</v>
      </c>
      <c r="AE58" s="5">
        <v>22</v>
      </c>
      <c r="AG58" s="5">
        <f t="shared" si="2"/>
        <v>225600</v>
      </c>
      <c r="AH58" s="5">
        <v>26</v>
      </c>
      <c r="AI58" s="5">
        <v>32</v>
      </c>
      <c r="AJ58" s="5">
        <v>5.9</v>
      </c>
      <c r="AK58" s="48">
        <v>6.2232968482147495</v>
      </c>
      <c r="AL58" s="48">
        <v>7.3775388981348549</v>
      </c>
      <c r="AM58" s="48">
        <v>7.3081698951412859</v>
      </c>
      <c r="AO58" s="5">
        <v>23</v>
      </c>
      <c r="AQ58" s="5">
        <f t="shared" si="3"/>
        <v>225600</v>
      </c>
      <c r="AR58" s="5">
        <v>27</v>
      </c>
      <c r="AS58" s="5">
        <v>30</v>
      </c>
      <c r="AT58" s="5">
        <v>5.5</v>
      </c>
      <c r="AU58" s="48">
        <v>5.5897606127688722</v>
      </c>
      <c r="AV58" s="48">
        <v>7.6604538242650246</v>
      </c>
      <c r="AW58" s="48">
        <v>7.4738777296399874</v>
      </c>
      <c r="AY58" s="5">
        <v>22</v>
      </c>
      <c r="AZ58" s="5">
        <v>6</v>
      </c>
      <c r="BA58" s="46">
        <v>45394</v>
      </c>
      <c r="BB58" s="5">
        <v>252000</v>
      </c>
      <c r="BC58" s="5">
        <v>26</v>
      </c>
      <c r="BD58" s="5">
        <v>30</v>
      </c>
      <c r="BE58" s="5">
        <v>5.8</v>
      </c>
      <c r="BF58" s="48">
        <v>6.1369982896376545</v>
      </c>
      <c r="BG58" s="48">
        <v>7.2658173783211488</v>
      </c>
      <c r="BH58" s="48">
        <v>7.5912586107503</v>
      </c>
      <c r="BJ58" s="5">
        <v>21</v>
      </c>
      <c r="BL58" s="5">
        <f t="shared" si="4"/>
        <v>222780</v>
      </c>
      <c r="BM58" s="5">
        <v>29</v>
      </c>
      <c r="BN58" s="5">
        <v>32</v>
      </c>
      <c r="BO58" s="5">
        <v>5.6</v>
      </c>
      <c r="BP58" s="48">
        <v>6.958480328494514</v>
      </c>
      <c r="BQ58" s="71">
        <v>7.1308930110024722</v>
      </c>
      <c r="BR58" s="48">
        <v>7.4775290624709099</v>
      </c>
      <c r="BT58" s="5">
        <v>18</v>
      </c>
      <c r="BV58" s="5">
        <f t="shared" si="5"/>
        <v>225600</v>
      </c>
      <c r="BW58" s="5">
        <v>26</v>
      </c>
      <c r="BX58" s="5">
        <v>30</v>
      </c>
      <c r="BY58" s="5">
        <v>6.9</v>
      </c>
      <c r="BZ58" s="48">
        <v>6.2620090358209728</v>
      </c>
      <c r="CA58" s="48">
        <v>7.1223794725551102</v>
      </c>
      <c r="CB58" s="48">
        <v>7.2870058143195573</v>
      </c>
      <c r="CD58" s="5">
        <v>24</v>
      </c>
      <c r="CF58" s="5">
        <f t="shared" si="6"/>
        <v>225600</v>
      </c>
      <c r="CG58" s="5">
        <v>28</v>
      </c>
      <c r="CH58" s="5">
        <v>31</v>
      </c>
      <c r="CI58" s="5">
        <v>6</v>
      </c>
      <c r="CJ58" s="48">
        <v>6.8468076150577764</v>
      </c>
      <c r="CK58" s="48">
        <v>7.1914727897099722</v>
      </c>
      <c r="CL58" s="48">
        <v>7.1475986226801087</v>
      </c>
      <c r="CN58" s="5">
        <v>19</v>
      </c>
      <c r="CP58" s="5">
        <f t="shared" si="7"/>
        <v>222780</v>
      </c>
      <c r="CQ58" s="5">
        <v>28</v>
      </c>
      <c r="CR58" s="5">
        <v>29</v>
      </c>
      <c r="CS58" s="5">
        <v>7.1</v>
      </c>
      <c r="CT58" s="48">
        <v>6.755749314729524</v>
      </c>
      <c r="CU58" s="48">
        <v>7.7496208193911338</v>
      </c>
      <c r="CV58" s="48">
        <v>7.3354124073778166</v>
      </c>
      <c r="CX58" s="5">
        <v>23</v>
      </c>
    </row>
    <row r="59" spans="1:102" x14ac:dyDescent="0.25">
      <c r="A59" s="5">
        <v>7</v>
      </c>
      <c r="B59" s="46">
        <v>45395</v>
      </c>
      <c r="C59" s="5">
        <v>252000</v>
      </c>
      <c r="D59" s="5">
        <v>27</v>
      </c>
      <c r="E59" s="5">
        <v>31</v>
      </c>
      <c r="F59" s="5">
        <v>5.9</v>
      </c>
      <c r="G59" s="5">
        <v>5.8</v>
      </c>
      <c r="H59" s="48">
        <v>7.2</v>
      </c>
      <c r="I59" s="5">
        <v>7.4</v>
      </c>
      <c r="K59" s="5">
        <v>15</v>
      </c>
      <c r="M59" s="5">
        <f t="shared" si="0"/>
        <v>225600</v>
      </c>
      <c r="N59" s="5">
        <v>29</v>
      </c>
      <c r="O59" s="5">
        <v>30</v>
      </c>
      <c r="P59" s="5">
        <v>5.6</v>
      </c>
      <c r="Q59" s="5">
        <v>7.1</v>
      </c>
      <c r="R59" s="5">
        <v>7.3</v>
      </c>
      <c r="S59" s="48">
        <v>7.4102083931931153</v>
      </c>
      <c r="U59" s="5">
        <v>25</v>
      </c>
      <c r="W59" s="5">
        <f t="shared" si="1"/>
        <v>222780</v>
      </c>
      <c r="X59" s="5">
        <v>26</v>
      </c>
      <c r="Y59" s="5">
        <v>31</v>
      </c>
      <c r="Z59" s="5">
        <v>5.5</v>
      </c>
      <c r="AA59" s="48">
        <v>6.8352783817437386</v>
      </c>
      <c r="AB59" s="48">
        <v>7.3771065537588276</v>
      </c>
      <c r="AC59" s="48">
        <v>7.1277869963704505</v>
      </c>
      <c r="AE59" s="5">
        <v>18</v>
      </c>
      <c r="AG59" s="5">
        <f t="shared" si="2"/>
        <v>225600</v>
      </c>
      <c r="AH59" s="5">
        <v>27</v>
      </c>
      <c r="AI59" s="5">
        <v>32</v>
      </c>
      <c r="AJ59" s="5">
        <v>7</v>
      </c>
      <c r="AK59" s="48">
        <v>6.2194194841555674</v>
      </c>
      <c r="AL59" s="48">
        <v>7.7806518547871208</v>
      </c>
      <c r="AM59" s="48">
        <v>7.5384520467741103</v>
      </c>
      <c r="AO59" s="5">
        <v>23</v>
      </c>
      <c r="AQ59" s="5">
        <f t="shared" si="3"/>
        <v>225600</v>
      </c>
      <c r="AR59" s="5">
        <v>29</v>
      </c>
      <c r="AS59" s="5">
        <v>29</v>
      </c>
      <c r="AT59" s="5">
        <v>5.5</v>
      </c>
      <c r="AU59" s="48">
        <v>5.5800987577964634</v>
      </c>
      <c r="AV59" s="48">
        <v>7.7551092797388037</v>
      </c>
      <c r="AW59" s="48">
        <v>7.1587411596963255</v>
      </c>
      <c r="AY59" s="5">
        <v>18</v>
      </c>
      <c r="AZ59" s="5">
        <v>7</v>
      </c>
      <c r="BA59" s="46">
        <v>45395</v>
      </c>
      <c r="BB59" s="5">
        <v>252000</v>
      </c>
      <c r="BC59" s="5">
        <v>26</v>
      </c>
      <c r="BD59" s="5">
        <v>30</v>
      </c>
      <c r="BE59" s="5">
        <v>5.9</v>
      </c>
      <c r="BF59" s="48">
        <v>7.0556910763426117</v>
      </c>
      <c r="BG59" s="48">
        <v>7.4195381884539318</v>
      </c>
      <c r="BH59" s="48">
        <v>7.576369321404429</v>
      </c>
      <c r="BJ59" s="5">
        <v>16</v>
      </c>
      <c r="BL59" s="5">
        <f t="shared" si="4"/>
        <v>222780</v>
      </c>
      <c r="BM59" s="5">
        <v>27</v>
      </c>
      <c r="BN59" s="5">
        <v>32</v>
      </c>
      <c r="BO59" s="5">
        <v>5.7</v>
      </c>
      <c r="BP59" s="48">
        <v>5.766312974756608</v>
      </c>
      <c r="BQ59" s="71">
        <v>7.6642424197673371</v>
      </c>
      <c r="BR59" s="48">
        <v>7.2025779176246889</v>
      </c>
      <c r="BT59" s="5">
        <v>15</v>
      </c>
      <c r="BV59" s="5">
        <f t="shared" si="5"/>
        <v>225600</v>
      </c>
      <c r="BW59" s="5">
        <v>27</v>
      </c>
      <c r="BX59" s="5">
        <v>29</v>
      </c>
      <c r="BY59" s="5">
        <v>7.1</v>
      </c>
      <c r="BZ59" s="48">
        <v>6.2953492441157817</v>
      </c>
      <c r="CA59" s="48">
        <v>7.3843426416828919</v>
      </c>
      <c r="CB59" s="48">
        <v>7.2219509276331184</v>
      </c>
      <c r="CD59" s="5">
        <v>23</v>
      </c>
      <c r="CF59" s="5">
        <f t="shared" si="6"/>
        <v>225600</v>
      </c>
      <c r="CG59" s="5">
        <v>29</v>
      </c>
      <c r="CH59" s="5">
        <v>30</v>
      </c>
      <c r="CI59" s="5">
        <v>5.9</v>
      </c>
      <c r="CJ59" s="48">
        <v>6.730906217585269</v>
      </c>
      <c r="CK59" s="48">
        <v>7.4271204496541987</v>
      </c>
      <c r="CL59" s="48">
        <v>7.3750750321617478</v>
      </c>
      <c r="CN59" s="5">
        <v>15</v>
      </c>
      <c r="CP59" s="5">
        <f t="shared" si="7"/>
        <v>222780</v>
      </c>
      <c r="CQ59" s="5">
        <v>29</v>
      </c>
      <c r="CR59" s="5">
        <v>29</v>
      </c>
      <c r="CS59" s="5">
        <v>6.9</v>
      </c>
      <c r="CT59" s="48">
        <v>6.2254540696089364</v>
      </c>
      <c r="CU59" s="48">
        <v>7.3315342363129545</v>
      </c>
      <c r="CV59" s="48">
        <v>7.38733506955574</v>
      </c>
      <c r="CX59" s="5">
        <v>19</v>
      </c>
    </row>
    <row r="60" spans="1:102" x14ac:dyDescent="0.25">
      <c r="A60" s="5">
        <v>8</v>
      </c>
      <c r="B60" s="46">
        <v>45396</v>
      </c>
      <c r="C60" s="5">
        <v>252000</v>
      </c>
      <c r="D60" s="5">
        <v>28</v>
      </c>
      <c r="E60" s="5">
        <v>32</v>
      </c>
      <c r="F60" s="5">
        <v>6</v>
      </c>
      <c r="G60" s="5">
        <v>6.8</v>
      </c>
      <c r="H60" s="48">
        <v>7.4</v>
      </c>
      <c r="I60" s="5">
        <v>7.2</v>
      </c>
      <c r="K60" s="5">
        <v>18</v>
      </c>
      <c r="M60" s="5">
        <f t="shared" si="0"/>
        <v>225600</v>
      </c>
      <c r="N60" s="5">
        <v>29</v>
      </c>
      <c r="O60" s="5">
        <v>31</v>
      </c>
      <c r="P60" s="5">
        <v>6.1</v>
      </c>
      <c r="Q60" s="5">
        <v>5.8</v>
      </c>
      <c r="R60" s="5">
        <v>7.1</v>
      </c>
      <c r="S60" s="48">
        <v>7.5863967412163262</v>
      </c>
      <c r="U60" s="5">
        <v>24</v>
      </c>
      <c r="W60" s="5">
        <f t="shared" si="1"/>
        <v>222780</v>
      </c>
      <c r="X60" s="5">
        <v>27</v>
      </c>
      <c r="Y60" s="5">
        <v>29</v>
      </c>
      <c r="Z60" s="5">
        <v>6.2</v>
      </c>
      <c r="AA60" s="48">
        <v>6.6174028671317737</v>
      </c>
      <c r="AB60" s="48">
        <v>7.5985137530083975</v>
      </c>
      <c r="AC60" s="48">
        <v>7.789966162481635</v>
      </c>
      <c r="AE60" s="5">
        <v>18</v>
      </c>
      <c r="AG60" s="5">
        <f t="shared" si="2"/>
        <v>225600</v>
      </c>
      <c r="AH60" s="5">
        <v>26</v>
      </c>
      <c r="AI60" s="5">
        <v>30</v>
      </c>
      <c r="AJ60" s="5">
        <v>6.9</v>
      </c>
      <c r="AK60" s="48">
        <v>6.0317536625033874</v>
      </c>
      <c r="AL60" s="48">
        <v>7.4036641496262652</v>
      </c>
      <c r="AM60" s="48">
        <v>7.1131142915104215</v>
      </c>
      <c r="AO60" s="5">
        <v>21</v>
      </c>
      <c r="AQ60" s="5">
        <f t="shared" si="3"/>
        <v>225600</v>
      </c>
      <c r="AR60" s="5">
        <v>28</v>
      </c>
      <c r="AS60" s="5">
        <v>32</v>
      </c>
      <c r="AT60" s="5">
        <v>6.4</v>
      </c>
      <c r="AU60" s="48">
        <v>6.6539072948507823</v>
      </c>
      <c r="AV60" s="48">
        <v>7.1832252297700565</v>
      </c>
      <c r="AW60" s="48">
        <v>7.1968768796163873</v>
      </c>
      <c r="AY60" s="5">
        <v>18</v>
      </c>
      <c r="AZ60" s="5">
        <v>8</v>
      </c>
      <c r="BA60" s="46">
        <v>45396</v>
      </c>
      <c r="BB60" s="5">
        <v>252000</v>
      </c>
      <c r="BC60" s="5">
        <v>26</v>
      </c>
      <c r="BD60" s="5">
        <v>32</v>
      </c>
      <c r="BE60" s="5">
        <v>6.2</v>
      </c>
      <c r="BF60" s="48">
        <v>6.0727629673364705</v>
      </c>
      <c r="BG60" s="48">
        <v>7.4658760440484224</v>
      </c>
      <c r="BH60" s="48">
        <v>7.3465403705797865</v>
      </c>
      <c r="BJ60" s="5">
        <v>23</v>
      </c>
      <c r="BL60" s="5">
        <f t="shared" si="4"/>
        <v>222780</v>
      </c>
      <c r="BM60" s="5">
        <v>26</v>
      </c>
      <c r="BN60" s="5">
        <v>30</v>
      </c>
      <c r="BO60" s="5">
        <v>6.5</v>
      </c>
      <c r="BP60" s="48">
        <v>6.2559134232895151</v>
      </c>
      <c r="BQ60" s="71">
        <v>7.6198018235392651</v>
      </c>
      <c r="BR60" s="48">
        <v>7.6133749097457155</v>
      </c>
      <c r="BT60" s="5">
        <v>24</v>
      </c>
      <c r="BV60" s="5">
        <f t="shared" si="5"/>
        <v>225600</v>
      </c>
      <c r="BW60" s="5">
        <v>28</v>
      </c>
      <c r="BX60" s="5">
        <v>30</v>
      </c>
      <c r="BY60" s="5">
        <v>5.7</v>
      </c>
      <c r="BZ60" s="48">
        <v>7.1165898444067253</v>
      </c>
      <c r="CA60" s="48">
        <v>7.1107723568767636</v>
      </c>
      <c r="CB60" s="48">
        <v>7.2663258272496467</v>
      </c>
      <c r="CD60" s="5">
        <v>20</v>
      </c>
      <c r="CF60" s="5">
        <f t="shared" si="6"/>
        <v>225600</v>
      </c>
      <c r="CG60" s="5">
        <v>29</v>
      </c>
      <c r="CH60" s="5">
        <v>30</v>
      </c>
      <c r="CI60" s="5">
        <v>7</v>
      </c>
      <c r="CJ60" s="48">
        <v>6.7619560092724784</v>
      </c>
      <c r="CK60" s="48">
        <v>7.4234808420129257</v>
      </c>
      <c r="CL60" s="48">
        <v>7.304629904024627</v>
      </c>
      <c r="CN60" s="5">
        <v>17</v>
      </c>
      <c r="CP60" s="5">
        <f t="shared" si="7"/>
        <v>222780</v>
      </c>
      <c r="CQ60" s="5">
        <v>27</v>
      </c>
      <c r="CR60" s="5">
        <v>29</v>
      </c>
      <c r="CS60" s="5">
        <v>6.1</v>
      </c>
      <c r="CT60" s="48">
        <v>6.9674516120115202</v>
      </c>
      <c r="CU60" s="48">
        <v>7.2335918484077029</v>
      </c>
      <c r="CV60" s="48">
        <v>7.1572429997837537</v>
      </c>
      <c r="CX60" s="5">
        <v>22</v>
      </c>
    </row>
    <row r="61" spans="1:102" x14ac:dyDescent="0.25">
      <c r="A61" s="5">
        <v>9</v>
      </c>
      <c r="B61" s="46">
        <v>45397</v>
      </c>
      <c r="C61" s="5">
        <v>252000</v>
      </c>
      <c r="D61" s="5">
        <v>26</v>
      </c>
      <c r="E61" s="5">
        <v>32</v>
      </c>
      <c r="F61" s="5">
        <v>5.7</v>
      </c>
      <c r="G61" s="5">
        <v>6.9</v>
      </c>
      <c r="H61" s="48">
        <v>7.1</v>
      </c>
      <c r="I61" s="5">
        <v>7.7</v>
      </c>
      <c r="K61" s="5">
        <v>21</v>
      </c>
      <c r="M61" s="5">
        <f t="shared" si="0"/>
        <v>225600</v>
      </c>
      <c r="N61" s="5">
        <v>27</v>
      </c>
      <c r="O61" s="5">
        <v>31</v>
      </c>
      <c r="P61" s="5">
        <v>6.7</v>
      </c>
      <c r="Q61" s="5">
        <v>6.4</v>
      </c>
      <c r="R61" s="5">
        <v>7.1</v>
      </c>
      <c r="S61" s="48">
        <v>7.6701881568463444</v>
      </c>
      <c r="U61" s="5">
        <v>25</v>
      </c>
      <c r="W61" s="5">
        <f t="shared" si="1"/>
        <v>222780</v>
      </c>
      <c r="X61" s="5">
        <v>26</v>
      </c>
      <c r="Y61" s="5">
        <v>30</v>
      </c>
      <c r="Z61" s="5">
        <v>7.1</v>
      </c>
      <c r="AA61" s="48">
        <v>5.8217746371366896</v>
      </c>
      <c r="AB61" s="48">
        <v>7.7837629046202084</v>
      </c>
      <c r="AC61" s="48">
        <v>7.7663345812106348</v>
      </c>
      <c r="AE61" s="5">
        <v>25</v>
      </c>
      <c r="AG61" s="5">
        <f t="shared" si="2"/>
        <v>225600</v>
      </c>
      <c r="AH61" s="5">
        <v>29</v>
      </c>
      <c r="AI61" s="5">
        <v>32</v>
      </c>
      <c r="AJ61" s="5">
        <v>5.5</v>
      </c>
      <c r="AK61" s="48">
        <v>5.939244714309857</v>
      </c>
      <c r="AL61" s="48">
        <v>7.4518734870388332</v>
      </c>
      <c r="AM61" s="48">
        <v>7.1773462529948269</v>
      </c>
      <c r="AO61" s="5">
        <v>16</v>
      </c>
      <c r="AQ61" s="5">
        <f t="shared" si="3"/>
        <v>225600</v>
      </c>
      <c r="AR61" s="5">
        <v>26</v>
      </c>
      <c r="AS61" s="5">
        <v>30</v>
      </c>
      <c r="AT61" s="5">
        <v>6.1</v>
      </c>
      <c r="AU61" s="48">
        <v>6.6566922439093519</v>
      </c>
      <c r="AV61" s="48">
        <v>7.5941119080079504</v>
      </c>
      <c r="AW61" s="48">
        <v>7.7065965047079183</v>
      </c>
      <c r="AY61" s="5">
        <v>16</v>
      </c>
      <c r="AZ61" s="5">
        <v>9</v>
      </c>
      <c r="BA61" s="46">
        <v>45397</v>
      </c>
      <c r="BB61" s="5">
        <v>252000</v>
      </c>
      <c r="BC61" s="5">
        <v>26</v>
      </c>
      <c r="BD61" s="5">
        <v>31</v>
      </c>
      <c r="BE61" s="5">
        <v>5.8</v>
      </c>
      <c r="BF61" s="48">
        <v>6.1053553008456589</v>
      </c>
      <c r="BG61" s="48">
        <v>7.737780688857395</v>
      </c>
      <c r="BH61" s="48">
        <v>7.2205000464815763</v>
      </c>
      <c r="BJ61" s="5">
        <v>19</v>
      </c>
      <c r="BL61" s="5">
        <f t="shared" si="4"/>
        <v>222780</v>
      </c>
      <c r="BM61" s="5">
        <v>28</v>
      </c>
      <c r="BN61" s="5">
        <v>31</v>
      </c>
      <c r="BO61" s="5">
        <v>6.5</v>
      </c>
      <c r="BP61" s="48">
        <v>6.7384520582714069</v>
      </c>
      <c r="BQ61" s="71">
        <v>7.7722040284625846</v>
      </c>
      <c r="BR61" s="48">
        <v>7.1548675084292226</v>
      </c>
      <c r="BT61" s="5">
        <v>18</v>
      </c>
      <c r="BV61" s="5">
        <f t="shared" si="5"/>
        <v>225600</v>
      </c>
      <c r="BW61" s="5">
        <v>27</v>
      </c>
      <c r="BX61" s="5">
        <v>32</v>
      </c>
      <c r="BY61" s="5">
        <v>6.3</v>
      </c>
      <c r="BZ61" s="48">
        <v>5.6615454113366894</v>
      </c>
      <c r="CA61" s="48">
        <v>7.7266869507251057</v>
      </c>
      <c r="CB61" s="48">
        <v>7.2304201573782922</v>
      </c>
      <c r="CD61" s="5">
        <v>23</v>
      </c>
      <c r="CF61" s="5">
        <f t="shared" si="6"/>
        <v>225600</v>
      </c>
      <c r="CG61" s="5">
        <v>29</v>
      </c>
      <c r="CH61" s="5">
        <v>30</v>
      </c>
      <c r="CI61" s="5">
        <v>7.1</v>
      </c>
      <c r="CJ61" s="48">
        <v>5.8019934791701893</v>
      </c>
      <c r="CK61" s="48">
        <v>7.4936579808709194</v>
      </c>
      <c r="CL61" s="48">
        <v>7.4663817681608977</v>
      </c>
      <c r="CN61" s="5">
        <v>23</v>
      </c>
      <c r="CP61" s="5">
        <f t="shared" si="7"/>
        <v>222780</v>
      </c>
      <c r="CQ61" s="5">
        <v>26</v>
      </c>
      <c r="CR61" s="5">
        <v>31</v>
      </c>
      <c r="CS61" s="5">
        <v>5.7</v>
      </c>
      <c r="CT61" s="48">
        <v>6.2955291760447301</v>
      </c>
      <c r="CU61" s="48">
        <v>7.714383370808565</v>
      </c>
      <c r="CV61" s="48">
        <v>7.2185376213880064</v>
      </c>
      <c r="CX61" s="5">
        <v>17</v>
      </c>
    </row>
    <row r="62" spans="1:102" x14ac:dyDescent="0.25">
      <c r="A62" s="5">
        <v>10</v>
      </c>
      <c r="B62" s="46">
        <v>45398</v>
      </c>
      <c r="C62" s="5">
        <v>252000</v>
      </c>
      <c r="D62" s="5">
        <v>29</v>
      </c>
      <c r="E62" s="5">
        <v>29</v>
      </c>
      <c r="F62" s="5">
        <v>7.1</v>
      </c>
      <c r="G62" s="5">
        <v>5.7</v>
      </c>
      <c r="H62" s="48">
        <v>7.5</v>
      </c>
      <c r="I62" s="5">
        <v>7.3</v>
      </c>
      <c r="K62" s="5">
        <v>22</v>
      </c>
      <c r="M62" s="5">
        <f t="shared" si="0"/>
        <v>225600</v>
      </c>
      <c r="N62" s="5">
        <v>27</v>
      </c>
      <c r="O62" s="5">
        <v>32</v>
      </c>
      <c r="P62" s="5">
        <v>6.2</v>
      </c>
      <c r="Q62" s="5">
        <v>6.8</v>
      </c>
      <c r="R62" s="5">
        <v>7.6</v>
      </c>
      <c r="S62" s="48">
        <v>7.7727686568861865</v>
      </c>
      <c r="U62" s="5">
        <v>23</v>
      </c>
      <c r="W62" s="5">
        <f t="shared" si="1"/>
        <v>222780</v>
      </c>
      <c r="X62" s="5">
        <v>29</v>
      </c>
      <c r="Y62" s="5">
        <v>29</v>
      </c>
      <c r="Z62" s="5">
        <v>6.4</v>
      </c>
      <c r="AA62" s="48">
        <v>5.8483740998895133</v>
      </c>
      <c r="AB62" s="48">
        <v>7.3124361794883095</v>
      </c>
      <c r="AC62" s="48">
        <v>7.7280128566486797</v>
      </c>
      <c r="AE62" s="5">
        <v>15</v>
      </c>
      <c r="AG62" s="5">
        <f t="shared" si="2"/>
        <v>225600</v>
      </c>
      <c r="AH62" s="5">
        <v>26</v>
      </c>
      <c r="AI62" s="5">
        <v>29</v>
      </c>
      <c r="AJ62" s="5">
        <v>6.8</v>
      </c>
      <c r="AK62" s="48">
        <v>6.1664010171020429</v>
      </c>
      <c r="AL62" s="48">
        <v>7.6325566699788956</v>
      </c>
      <c r="AM62" s="48">
        <v>7.77397268283445</v>
      </c>
      <c r="AO62" s="5">
        <v>18</v>
      </c>
      <c r="AQ62" s="5">
        <f t="shared" si="3"/>
        <v>225600</v>
      </c>
      <c r="AR62" s="5">
        <v>26</v>
      </c>
      <c r="AS62" s="5">
        <v>30</v>
      </c>
      <c r="AT62" s="5">
        <v>5.7</v>
      </c>
      <c r="AU62" s="48">
        <v>5.6752935904122843</v>
      </c>
      <c r="AV62" s="48">
        <v>7.2190644568449125</v>
      </c>
      <c r="AW62" s="48">
        <v>7.2279890317037339</v>
      </c>
      <c r="AY62" s="5">
        <v>24</v>
      </c>
      <c r="AZ62" s="5">
        <v>10</v>
      </c>
      <c r="BA62" s="46">
        <v>45398</v>
      </c>
      <c r="BB62" s="5">
        <v>252000</v>
      </c>
      <c r="BC62" s="5">
        <v>29</v>
      </c>
      <c r="BD62" s="5">
        <v>30</v>
      </c>
      <c r="BE62" s="5">
        <v>5.8</v>
      </c>
      <c r="BF62" s="48">
        <v>6.3582509717257683</v>
      </c>
      <c r="BG62" s="48">
        <v>7.2077569715947831</v>
      </c>
      <c r="BH62" s="48">
        <v>7.4611755504938531</v>
      </c>
      <c r="BJ62" s="5">
        <v>16</v>
      </c>
      <c r="BL62" s="5">
        <f t="shared" si="4"/>
        <v>222780</v>
      </c>
      <c r="BM62" s="5">
        <v>28</v>
      </c>
      <c r="BN62" s="5">
        <v>32</v>
      </c>
      <c r="BO62" s="5">
        <v>5.6</v>
      </c>
      <c r="BP62" s="48">
        <v>6.9291818348146608</v>
      </c>
      <c r="BQ62" s="71">
        <v>7.398257924926761</v>
      </c>
      <c r="BR62" s="48">
        <v>7.631071157667181</v>
      </c>
      <c r="BT62" s="5">
        <v>23</v>
      </c>
      <c r="BV62" s="5">
        <f t="shared" si="5"/>
        <v>225600</v>
      </c>
      <c r="BW62" s="5">
        <v>26</v>
      </c>
      <c r="BX62" s="5">
        <v>31</v>
      </c>
      <c r="BY62" s="5">
        <v>7.1</v>
      </c>
      <c r="BZ62" s="48">
        <v>6.6619678756112739</v>
      </c>
      <c r="CA62" s="48">
        <v>7.3843509526852653</v>
      </c>
      <c r="CB62" s="48">
        <v>7.2550423846779815</v>
      </c>
      <c r="CD62" s="5">
        <v>25</v>
      </c>
      <c r="CF62" s="5">
        <f t="shared" si="6"/>
        <v>225600</v>
      </c>
      <c r="CG62" s="5">
        <v>29</v>
      </c>
      <c r="CH62" s="5">
        <v>30</v>
      </c>
      <c r="CI62" s="5">
        <v>6.3</v>
      </c>
      <c r="CJ62" s="48">
        <v>6.5641674190833008</v>
      </c>
      <c r="CK62" s="48">
        <v>7.4340715906572319</v>
      </c>
      <c r="CL62" s="48">
        <v>7.3835923300312141</v>
      </c>
      <c r="CN62" s="5">
        <v>20</v>
      </c>
      <c r="CP62" s="5">
        <f t="shared" si="7"/>
        <v>222780</v>
      </c>
      <c r="CQ62" s="5">
        <v>26</v>
      </c>
      <c r="CR62" s="5">
        <v>31</v>
      </c>
      <c r="CS62" s="5">
        <v>6.3</v>
      </c>
      <c r="CT62" s="48">
        <v>5.8263539449550432</v>
      </c>
      <c r="CU62" s="48">
        <v>7.4076534620798329</v>
      </c>
      <c r="CV62" s="48">
        <v>7.1685862515894634</v>
      </c>
      <c r="CX62" s="5">
        <v>19</v>
      </c>
    </row>
    <row r="63" spans="1:102" x14ac:dyDescent="0.25">
      <c r="A63" s="5">
        <v>11</v>
      </c>
      <c r="B63" s="46">
        <v>45399</v>
      </c>
      <c r="C63" s="5">
        <v>252000</v>
      </c>
      <c r="D63" s="5">
        <v>29</v>
      </c>
      <c r="E63" s="5">
        <v>31</v>
      </c>
      <c r="F63" s="5">
        <v>6.8</v>
      </c>
      <c r="G63" s="5">
        <v>6.4</v>
      </c>
      <c r="H63" s="48">
        <v>7.4</v>
      </c>
      <c r="I63" s="5">
        <v>7.3</v>
      </c>
      <c r="K63" s="5">
        <v>19</v>
      </c>
      <c r="M63" s="5">
        <f t="shared" si="0"/>
        <v>225600</v>
      </c>
      <c r="N63" s="5">
        <v>26</v>
      </c>
      <c r="O63" s="5">
        <v>30</v>
      </c>
      <c r="P63" s="5">
        <v>5.8</v>
      </c>
      <c r="Q63" s="5">
        <v>6.8</v>
      </c>
      <c r="R63" s="5">
        <v>7.5</v>
      </c>
      <c r="S63" s="48">
        <v>7.3870840323925639</v>
      </c>
      <c r="U63" s="5">
        <v>16</v>
      </c>
      <c r="W63" s="5">
        <f t="shared" si="1"/>
        <v>222780</v>
      </c>
      <c r="X63" s="5">
        <v>28</v>
      </c>
      <c r="Y63" s="5">
        <v>31</v>
      </c>
      <c r="Z63" s="5">
        <v>6</v>
      </c>
      <c r="AA63" s="48">
        <v>7.144381095891057</v>
      </c>
      <c r="AB63" s="48">
        <v>7.5431807813241063</v>
      </c>
      <c r="AC63" s="48">
        <v>7.1244727945971711</v>
      </c>
      <c r="AE63" s="5">
        <v>20</v>
      </c>
      <c r="AG63" s="5">
        <f t="shared" si="2"/>
        <v>225600</v>
      </c>
      <c r="AH63" s="5">
        <v>26</v>
      </c>
      <c r="AI63" s="5">
        <v>29</v>
      </c>
      <c r="AJ63" s="5">
        <v>6.7</v>
      </c>
      <c r="AK63" s="48">
        <v>6.2587142390427895</v>
      </c>
      <c r="AL63" s="48">
        <v>7.608146575094854</v>
      </c>
      <c r="AM63" s="48">
        <v>7.2229548859189974</v>
      </c>
      <c r="AO63" s="5">
        <v>23</v>
      </c>
      <c r="AQ63" s="5">
        <f t="shared" si="3"/>
        <v>225600</v>
      </c>
      <c r="AR63" s="5">
        <v>29</v>
      </c>
      <c r="AS63" s="5">
        <v>29</v>
      </c>
      <c r="AT63" s="5">
        <v>6.8</v>
      </c>
      <c r="AU63" s="48">
        <v>6.7648296908779759</v>
      </c>
      <c r="AV63" s="48">
        <v>7.1805477133466313</v>
      </c>
      <c r="AW63" s="48">
        <v>7.5381356284641656</v>
      </c>
      <c r="AY63" s="5">
        <v>17</v>
      </c>
      <c r="AZ63" s="5">
        <v>11</v>
      </c>
      <c r="BA63" s="46">
        <v>45399</v>
      </c>
      <c r="BB63" s="5">
        <v>252000</v>
      </c>
      <c r="BC63" s="5">
        <v>26</v>
      </c>
      <c r="BD63" s="5">
        <v>31</v>
      </c>
      <c r="BE63" s="5">
        <v>6</v>
      </c>
      <c r="BF63" s="48">
        <v>6.8325020117632871</v>
      </c>
      <c r="BG63" s="48">
        <v>7.7423387988937833</v>
      </c>
      <c r="BH63" s="48">
        <v>7.3232825599636282</v>
      </c>
      <c r="BJ63" s="5">
        <v>18</v>
      </c>
      <c r="BL63" s="5">
        <f t="shared" si="4"/>
        <v>222780</v>
      </c>
      <c r="BM63" s="5">
        <v>28</v>
      </c>
      <c r="BN63" s="5">
        <v>30</v>
      </c>
      <c r="BO63" s="5">
        <v>7.1</v>
      </c>
      <c r="BP63" s="48">
        <v>5.5725433603446461</v>
      </c>
      <c r="BQ63" s="71">
        <v>7.7860335408982131</v>
      </c>
      <c r="BR63" s="48">
        <v>7.7905578460315548</v>
      </c>
      <c r="BT63" s="5">
        <v>16</v>
      </c>
      <c r="BV63" s="5">
        <f t="shared" si="5"/>
        <v>225600</v>
      </c>
      <c r="BW63" s="5">
        <v>26</v>
      </c>
      <c r="BX63" s="5">
        <v>31</v>
      </c>
      <c r="BY63" s="5">
        <v>6.1</v>
      </c>
      <c r="BZ63" s="48">
        <v>6.4060930316697142</v>
      </c>
      <c r="CA63" s="48">
        <v>7.2961368192694627</v>
      </c>
      <c r="CB63" s="48">
        <v>7.1202248045613583</v>
      </c>
      <c r="CD63" s="5">
        <v>15</v>
      </c>
      <c r="CF63" s="5">
        <f t="shared" si="6"/>
        <v>225600</v>
      </c>
      <c r="CG63" s="5">
        <v>29</v>
      </c>
      <c r="CH63" s="5">
        <v>29</v>
      </c>
      <c r="CI63" s="5">
        <v>5.5</v>
      </c>
      <c r="CJ63" s="48">
        <v>6.538617965520892</v>
      </c>
      <c r="CK63" s="48">
        <v>7.4612173040341796</v>
      </c>
      <c r="CL63" s="48">
        <v>7.4360541743528028</v>
      </c>
      <c r="CN63" s="5">
        <v>17</v>
      </c>
      <c r="CP63" s="5">
        <f t="shared" si="7"/>
        <v>222780</v>
      </c>
      <c r="CQ63" s="5">
        <v>29</v>
      </c>
      <c r="CR63" s="5">
        <v>32</v>
      </c>
      <c r="CS63" s="5">
        <v>7</v>
      </c>
      <c r="CT63" s="48">
        <v>6.1704128015928204</v>
      </c>
      <c r="CU63" s="48">
        <v>7.4043763519075858</v>
      </c>
      <c r="CV63" s="48">
        <v>7.3810539275441158</v>
      </c>
      <c r="CX63" s="5">
        <v>18</v>
      </c>
    </row>
    <row r="64" spans="1:102" x14ac:dyDescent="0.25">
      <c r="A64" s="5">
        <v>12</v>
      </c>
      <c r="B64" s="46">
        <v>45400</v>
      </c>
      <c r="C64" s="5">
        <v>252000</v>
      </c>
      <c r="D64" s="5">
        <v>28</v>
      </c>
      <c r="E64" s="5">
        <v>30</v>
      </c>
      <c r="F64" s="5">
        <v>5.7</v>
      </c>
      <c r="G64" s="5">
        <v>5.8</v>
      </c>
      <c r="H64" s="48">
        <v>7.7</v>
      </c>
      <c r="I64" s="5">
        <v>7.1</v>
      </c>
      <c r="K64" s="5">
        <v>22</v>
      </c>
      <c r="M64" s="5">
        <f t="shared" si="0"/>
        <v>225600</v>
      </c>
      <c r="N64" s="5">
        <v>26</v>
      </c>
      <c r="O64" s="5">
        <v>32</v>
      </c>
      <c r="P64" s="5">
        <v>6.6</v>
      </c>
      <c r="Q64" s="5">
        <v>5.8</v>
      </c>
      <c r="R64" s="5">
        <v>7.4</v>
      </c>
      <c r="S64" s="48">
        <v>7.5001802328202007</v>
      </c>
      <c r="U64" s="5">
        <v>17</v>
      </c>
      <c r="W64" s="5">
        <f t="shared" si="1"/>
        <v>222780</v>
      </c>
      <c r="X64" s="5">
        <v>27</v>
      </c>
      <c r="Y64" s="5">
        <v>32</v>
      </c>
      <c r="Z64" s="5">
        <v>6.6</v>
      </c>
      <c r="AA64" s="48">
        <v>5.8123205660681077</v>
      </c>
      <c r="AB64" s="48">
        <v>7.4191885986671533</v>
      </c>
      <c r="AC64" s="48">
        <v>7.3963088831023276</v>
      </c>
      <c r="AE64" s="5">
        <v>15</v>
      </c>
      <c r="AG64" s="5">
        <f t="shared" si="2"/>
        <v>225600</v>
      </c>
      <c r="AH64" s="5">
        <v>28</v>
      </c>
      <c r="AI64" s="5">
        <v>30</v>
      </c>
      <c r="AJ64" s="5">
        <v>5.7</v>
      </c>
      <c r="AK64" s="48">
        <v>6.239950715430818</v>
      </c>
      <c r="AL64" s="48">
        <v>7.5232887770538266</v>
      </c>
      <c r="AM64" s="48">
        <v>7.5712100297265046</v>
      </c>
      <c r="AO64" s="5">
        <v>24</v>
      </c>
      <c r="AQ64" s="5">
        <f t="shared" si="3"/>
        <v>225600</v>
      </c>
      <c r="AR64" s="5">
        <v>29</v>
      </c>
      <c r="AS64" s="5">
        <v>29</v>
      </c>
      <c r="AT64" s="5">
        <v>5.6</v>
      </c>
      <c r="AU64" s="48">
        <v>5.8346156282786392</v>
      </c>
      <c r="AV64" s="48">
        <v>7.6654267359018347</v>
      </c>
      <c r="AW64" s="48">
        <v>7.5683042664411158</v>
      </c>
      <c r="AY64" s="5">
        <v>17</v>
      </c>
      <c r="AZ64" s="5">
        <v>12</v>
      </c>
      <c r="BA64" s="46">
        <v>45400</v>
      </c>
      <c r="BB64" s="5">
        <v>252000</v>
      </c>
      <c r="BC64" s="5">
        <v>28</v>
      </c>
      <c r="BD64" s="5">
        <v>32</v>
      </c>
      <c r="BE64" s="5">
        <v>5.8</v>
      </c>
      <c r="BF64" s="48">
        <v>6.4264443561457272</v>
      </c>
      <c r="BG64" s="48">
        <v>7.2300711420666923</v>
      </c>
      <c r="BH64" s="48">
        <v>7.2590774982243227</v>
      </c>
      <c r="BJ64" s="5">
        <v>16</v>
      </c>
      <c r="BL64" s="5">
        <f t="shared" si="4"/>
        <v>222780</v>
      </c>
      <c r="BM64" s="5">
        <v>27</v>
      </c>
      <c r="BN64" s="5">
        <v>30</v>
      </c>
      <c r="BO64" s="5">
        <v>6.2</v>
      </c>
      <c r="BP64" s="48">
        <v>6.4583135974914896</v>
      </c>
      <c r="BQ64" s="71">
        <v>7.4569050038168285</v>
      </c>
      <c r="BR64" s="48">
        <v>7.3899044679396511</v>
      </c>
      <c r="BT64" s="5">
        <v>24</v>
      </c>
      <c r="BV64" s="5">
        <f t="shared" si="5"/>
        <v>225600</v>
      </c>
      <c r="BW64" s="5">
        <v>26</v>
      </c>
      <c r="BX64" s="5">
        <v>32</v>
      </c>
      <c r="BY64" s="5">
        <v>7.1</v>
      </c>
      <c r="BZ64" s="48">
        <v>6.7642276071654628</v>
      </c>
      <c r="CA64" s="48">
        <v>7.6300502914172821</v>
      </c>
      <c r="CB64" s="48">
        <v>7.5726219399310741</v>
      </c>
      <c r="CD64" s="5">
        <v>18</v>
      </c>
      <c r="CF64" s="5">
        <f t="shared" si="6"/>
        <v>225600</v>
      </c>
      <c r="CG64" s="5">
        <v>28</v>
      </c>
      <c r="CH64" s="5">
        <v>32</v>
      </c>
      <c r="CI64" s="5">
        <v>6.9</v>
      </c>
      <c r="CJ64" s="48">
        <v>6.6753059550845473</v>
      </c>
      <c r="CK64" s="48">
        <v>7.1423314341552526</v>
      </c>
      <c r="CL64" s="48">
        <v>7.563854132230972</v>
      </c>
      <c r="CN64" s="5">
        <v>19</v>
      </c>
      <c r="CP64" s="5">
        <f t="shared" si="7"/>
        <v>222780</v>
      </c>
      <c r="CQ64" s="5">
        <v>29</v>
      </c>
      <c r="CR64" s="5">
        <v>32</v>
      </c>
      <c r="CS64" s="5">
        <v>7.1</v>
      </c>
      <c r="CT64" s="48">
        <v>7.185590093807698</v>
      </c>
      <c r="CU64" s="48">
        <v>7.2603196085525559</v>
      </c>
      <c r="CV64" s="48">
        <v>7.6988536576766977</v>
      </c>
      <c r="CX64" s="5">
        <v>21</v>
      </c>
    </row>
    <row r="65" spans="1:102" x14ac:dyDescent="0.25">
      <c r="A65" s="5">
        <v>13</v>
      </c>
      <c r="B65" s="46">
        <v>45401</v>
      </c>
      <c r="C65" s="5">
        <v>252000</v>
      </c>
      <c r="D65" s="5">
        <v>26</v>
      </c>
      <c r="E65" s="5">
        <v>32</v>
      </c>
      <c r="F65" s="5">
        <v>6.1</v>
      </c>
      <c r="G65" s="5">
        <v>6.1</v>
      </c>
      <c r="H65" s="48">
        <v>7.3</v>
      </c>
      <c r="I65" s="5">
        <v>7.7</v>
      </c>
      <c r="K65" s="5">
        <v>21</v>
      </c>
      <c r="M65" s="5">
        <f t="shared" si="0"/>
        <v>225600</v>
      </c>
      <c r="N65" s="5">
        <v>28</v>
      </c>
      <c r="O65" s="5">
        <v>29</v>
      </c>
      <c r="P65" s="5">
        <v>5.7</v>
      </c>
      <c r="Q65" s="5">
        <v>6.3</v>
      </c>
      <c r="R65" s="5">
        <v>7.5</v>
      </c>
      <c r="S65" s="48">
        <v>7.4287637779325468</v>
      </c>
      <c r="U65" s="5">
        <v>23</v>
      </c>
      <c r="W65" s="5">
        <f t="shared" si="1"/>
        <v>222780</v>
      </c>
      <c r="X65" s="5">
        <v>29</v>
      </c>
      <c r="Y65" s="5">
        <v>31</v>
      </c>
      <c r="Z65" s="5">
        <v>6.7</v>
      </c>
      <c r="AA65" s="48">
        <v>6.1862171843974139</v>
      </c>
      <c r="AB65" s="48">
        <v>7.410628059167367</v>
      </c>
      <c r="AC65" s="48">
        <v>7.4493076725594998</v>
      </c>
      <c r="AE65" s="5">
        <v>15</v>
      </c>
      <c r="AG65" s="5">
        <f t="shared" si="2"/>
        <v>225600</v>
      </c>
      <c r="AH65" s="5">
        <v>27</v>
      </c>
      <c r="AI65" s="5">
        <v>29</v>
      </c>
      <c r="AJ65" s="5">
        <v>6.8</v>
      </c>
      <c r="AK65" s="48">
        <v>7.0367239104978374</v>
      </c>
      <c r="AL65" s="48">
        <v>7.6560872405810381</v>
      </c>
      <c r="AM65" s="48">
        <v>7.1262647684844733</v>
      </c>
      <c r="AO65" s="5">
        <v>21</v>
      </c>
      <c r="AQ65" s="5">
        <f t="shared" si="3"/>
        <v>225600</v>
      </c>
      <c r="AR65" s="5">
        <v>29</v>
      </c>
      <c r="AS65" s="5">
        <v>30</v>
      </c>
      <c r="AT65" s="5">
        <v>5.5</v>
      </c>
      <c r="AU65" s="48">
        <v>5.9955828484709874</v>
      </c>
      <c r="AV65" s="48">
        <v>7.7948879277268484</v>
      </c>
      <c r="AW65" s="48">
        <v>7.2680115299705355</v>
      </c>
      <c r="AY65" s="5">
        <v>21</v>
      </c>
      <c r="AZ65" s="5">
        <v>13</v>
      </c>
      <c r="BA65" s="46">
        <v>45401</v>
      </c>
      <c r="BB65" s="5">
        <v>252000</v>
      </c>
      <c r="BC65" s="5">
        <v>28</v>
      </c>
      <c r="BD65" s="5">
        <v>29</v>
      </c>
      <c r="BE65" s="5">
        <v>7.1</v>
      </c>
      <c r="BF65" s="48">
        <v>5.6365512382059153</v>
      </c>
      <c r="BG65" s="48">
        <v>7.3929637270619448</v>
      </c>
      <c r="BH65" s="48">
        <v>7.1688942069818058</v>
      </c>
      <c r="BJ65" s="5">
        <v>20</v>
      </c>
      <c r="BL65" s="5">
        <f t="shared" si="4"/>
        <v>222780</v>
      </c>
      <c r="BM65" s="5">
        <v>28</v>
      </c>
      <c r="BN65" s="5">
        <v>31</v>
      </c>
      <c r="BO65" s="5">
        <v>6.9</v>
      </c>
      <c r="BP65" s="48">
        <v>7.0460764763098362</v>
      </c>
      <c r="BQ65" s="72">
        <v>7.4581619924956088</v>
      </c>
      <c r="BR65" s="48">
        <v>7.5092944737663831</v>
      </c>
      <c r="BT65" s="5">
        <v>23</v>
      </c>
      <c r="BV65" s="5">
        <f t="shared" si="5"/>
        <v>225600</v>
      </c>
      <c r="BW65" s="5">
        <v>26</v>
      </c>
      <c r="BX65" s="5">
        <v>32</v>
      </c>
      <c r="BY65" s="5">
        <v>5.5</v>
      </c>
      <c r="BZ65" s="48">
        <v>6.036076054213968</v>
      </c>
      <c r="CA65" s="48">
        <v>7.5895260503987272</v>
      </c>
      <c r="CB65" s="48">
        <v>7.3813795987225159</v>
      </c>
      <c r="CD65" s="5">
        <v>17</v>
      </c>
      <c r="CF65" s="5">
        <f t="shared" si="6"/>
        <v>225600</v>
      </c>
      <c r="CG65" s="5">
        <v>29</v>
      </c>
      <c r="CH65" s="5">
        <v>31</v>
      </c>
      <c r="CI65" s="5">
        <v>6.7</v>
      </c>
      <c r="CJ65" s="48">
        <v>7.0873569978394082</v>
      </c>
      <c r="CK65" s="48">
        <v>7.4907652914521652</v>
      </c>
      <c r="CL65" s="48">
        <v>7.3693110045479093</v>
      </c>
      <c r="CN65" s="5">
        <v>18</v>
      </c>
      <c r="CP65" s="5">
        <f t="shared" si="7"/>
        <v>222780</v>
      </c>
      <c r="CQ65" s="5">
        <v>26</v>
      </c>
      <c r="CR65" s="5">
        <v>31</v>
      </c>
      <c r="CS65" s="5">
        <v>5.9</v>
      </c>
      <c r="CT65" s="48">
        <v>5.9065675546769105</v>
      </c>
      <c r="CU65" s="48">
        <v>7.4186519105935806</v>
      </c>
      <c r="CV65" s="48">
        <v>7.4432085120214868</v>
      </c>
      <c r="CX65" s="5">
        <v>22</v>
      </c>
    </row>
    <row r="66" spans="1:102" x14ac:dyDescent="0.25">
      <c r="A66" s="5">
        <v>14</v>
      </c>
      <c r="B66" s="46">
        <v>45402</v>
      </c>
      <c r="C66" s="5">
        <v>252000</v>
      </c>
      <c r="D66" s="5">
        <v>26</v>
      </c>
      <c r="E66" s="5">
        <v>31</v>
      </c>
      <c r="F66" s="5">
        <v>6.4</v>
      </c>
      <c r="G66" s="5">
        <v>6.8</v>
      </c>
      <c r="H66" s="48">
        <v>7.6</v>
      </c>
      <c r="I66" s="5">
        <v>7.6</v>
      </c>
      <c r="K66" s="5">
        <v>15</v>
      </c>
      <c r="M66" s="5">
        <f t="shared" si="0"/>
        <v>225600</v>
      </c>
      <c r="N66" s="5">
        <v>29</v>
      </c>
      <c r="O66" s="5">
        <v>31</v>
      </c>
      <c r="P66" s="5">
        <v>5.6</v>
      </c>
      <c r="Q66" s="5">
        <v>6.2</v>
      </c>
      <c r="R66" s="5">
        <v>7.5</v>
      </c>
      <c r="S66" s="48">
        <v>7.7555073462986552</v>
      </c>
      <c r="U66" s="5">
        <v>22</v>
      </c>
      <c r="W66" s="5">
        <f t="shared" si="1"/>
        <v>222780</v>
      </c>
      <c r="X66" s="5">
        <v>26</v>
      </c>
      <c r="Y66" s="5">
        <v>29</v>
      </c>
      <c r="Z66" s="5">
        <v>6</v>
      </c>
      <c r="AA66" s="48">
        <v>5.7032136328171799</v>
      </c>
      <c r="AB66" s="48">
        <v>7.3484759109812554</v>
      </c>
      <c r="AC66" s="48">
        <v>7.7914631238739895</v>
      </c>
      <c r="AE66" s="5">
        <v>17</v>
      </c>
      <c r="AG66" s="5">
        <f t="shared" si="2"/>
        <v>225600</v>
      </c>
      <c r="AH66" s="5">
        <v>29</v>
      </c>
      <c r="AI66" s="5">
        <v>30</v>
      </c>
      <c r="AJ66" s="5">
        <v>5.6</v>
      </c>
      <c r="AK66" s="48">
        <v>7.1937614072396059</v>
      </c>
      <c r="AL66" s="48">
        <v>7.2816730606096982</v>
      </c>
      <c r="AM66" s="48">
        <v>7.5667713954584412</v>
      </c>
      <c r="AO66" s="5">
        <v>15</v>
      </c>
      <c r="AQ66" s="5">
        <f t="shared" si="3"/>
        <v>225600</v>
      </c>
      <c r="AR66" s="5">
        <v>29</v>
      </c>
      <c r="AS66" s="5">
        <v>32</v>
      </c>
      <c r="AT66" s="5">
        <v>6.9</v>
      </c>
      <c r="AU66" s="48">
        <v>6.8024157783005608</v>
      </c>
      <c r="AV66" s="48">
        <v>7.6213023683936605</v>
      </c>
      <c r="AW66" s="48">
        <v>7.6310214761028137</v>
      </c>
      <c r="AY66" s="5">
        <v>15</v>
      </c>
      <c r="AZ66" s="5">
        <v>14</v>
      </c>
      <c r="BA66" s="46">
        <v>45402</v>
      </c>
      <c r="BB66" s="5">
        <v>252000</v>
      </c>
      <c r="BC66" s="5">
        <v>28</v>
      </c>
      <c r="BD66" s="5">
        <v>32</v>
      </c>
      <c r="BE66" s="5">
        <v>5.9</v>
      </c>
      <c r="BF66" s="48">
        <v>6.7224161846719914</v>
      </c>
      <c r="BG66" s="48">
        <v>7.4835775144662691</v>
      </c>
      <c r="BH66" s="48">
        <v>7.5789567396341635</v>
      </c>
      <c r="BJ66" s="5">
        <v>19</v>
      </c>
      <c r="BL66" s="5">
        <f t="shared" si="4"/>
        <v>222780</v>
      </c>
      <c r="BM66" s="5">
        <v>29</v>
      </c>
      <c r="BN66" s="5">
        <v>31</v>
      </c>
      <c r="BO66" s="5">
        <v>6</v>
      </c>
      <c r="BP66" s="48">
        <v>6.2219978788545989</v>
      </c>
      <c r="BQ66" s="72">
        <v>7.5428523508467018</v>
      </c>
      <c r="BR66" s="48">
        <v>7.7058087700551532</v>
      </c>
      <c r="BT66" s="5">
        <v>23</v>
      </c>
      <c r="BV66" s="5">
        <f t="shared" si="5"/>
        <v>225600</v>
      </c>
      <c r="BW66" s="5">
        <v>29</v>
      </c>
      <c r="BX66" s="5">
        <v>32</v>
      </c>
      <c r="BY66" s="5">
        <v>6.4</v>
      </c>
      <c r="BZ66" s="48">
        <v>6.4810624099360776</v>
      </c>
      <c r="CA66" s="48">
        <v>7.5606545262831473</v>
      </c>
      <c r="CB66" s="48">
        <v>7.5722139241902564</v>
      </c>
      <c r="CD66" s="5">
        <v>23</v>
      </c>
      <c r="CF66" s="5">
        <f t="shared" si="6"/>
        <v>225600</v>
      </c>
      <c r="CG66" s="5">
        <v>26</v>
      </c>
      <c r="CH66" s="5">
        <v>32</v>
      </c>
      <c r="CI66" s="5">
        <v>6.1</v>
      </c>
      <c r="CJ66" s="48">
        <v>6.1007463330917098</v>
      </c>
      <c r="CK66" s="48">
        <v>7.312637835609797</v>
      </c>
      <c r="CL66" s="48">
        <v>7.625923014508845</v>
      </c>
      <c r="CN66" s="5">
        <v>17</v>
      </c>
      <c r="CP66" s="5">
        <f t="shared" si="7"/>
        <v>222780</v>
      </c>
      <c r="CQ66" s="5">
        <v>28</v>
      </c>
      <c r="CR66" s="5">
        <v>32</v>
      </c>
      <c r="CS66" s="5">
        <v>6.9</v>
      </c>
      <c r="CT66" s="48">
        <v>6.7371564596395155</v>
      </c>
      <c r="CU66" s="48">
        <v>7.3154274352416442</v>
      </c>
      <c r="CV66" s="48">
        <v>7.6840009403490575</v>
      </c>
      <c r="CX66" s="5">
        <v>25</v>
      </c>
    </row>
    <row r="67" spans="1:102" x14ac:dyDescent="0.25">
      <c r="A67" s="5">
        <v>15</v>
      </c>
      <c r="B67" s="46">
        <v>45403</v>
      </c>
      <c r="C67" s="5">
        <v>252000</v>
      </c>
      <c r="D67" s="5">
        <v>29</v>
      </c>
      <c r="E67" s="5">
        <v>32</v>
      </c>
      <c r="F67" s="5">
        <v>5.7</v>
      </c>
      <c r="G67" s="5">
        <v>6.1</v>
      </c>
      <c r="H67" s="48">
        <v>7.5</v>
      </c>
      <c r="I67" s="5">
        <v>7.4</v>
      </c>
      <c r="J67" s="5">
        <v>0.05</v>
      </c>
      <c r="K67" s="5">
        <v>20</v>
      </c>
      <c r="M67" s="5">
        <f t="shared" si="0"/>
        <v>225600</v>
      </c>
      <c r="N67" s="5">
        <v>26</v>
      </c>
      <c r="O67" s="5">
        <v>29</v>
      </c>
      <c r="P67" s="5">
        <v>6.5</v>
      </c>
      <c r="Q67" s="5">
        <v>5.8</v>
      </c>
      <c r="R67" s="5">
        <v>7.4</v>
      </c>
      <c r="S67" s="48">
        <v>7.3108517510380704</v>
      </c>
      <c r="T67" s="5">
        <v>0.06</v>
      </c>
      <c r="U67" s="5">
        <v>18</v>
      </c>
      <c r="W67" s="5">
        <f t="shared" si="1"/>
        <v>222780</v>
      </c>
      <c r="X67" s="5">
        <v>28</v>
      </c>
      <c r="Y67" s="5">
        <v>29</v>
      </c>
      <c r="Z67" s="5">
        <v>5.7</v>
      </c>
      <c r="AA67" s="48">
        <v>6.792561080891482</v>
      </c>
      <c r="AB67" s="48">
        <v>7.6369112666559857</v>
      </c>
      <c r="AC67" s="48">
        <v>7.1412841192837231</v>
      </c>
      <c r="AE67" s="5">
        <v>23</v>
      </c>
      <c r="AG67" s="5">
        <f t="shared" si="2"/>
        <v>225600</v>
      </c>
      <c r="AH67" s="5">
        <v>27</v>
      </c>
      <c r="AI67" s="5">
        <v>30</v>
      </c>
      <c r="AJ67" s="5">
        <v>6.5</v>
      </c>
      <c r="AK67" s="48">
        <v>5.6593573193850712</v>
      </c>
      <c r="AL67" s="48">
        <v>7.7641997383056669</v>
      </c>
      <c r="AM67" s="48">
        <v>7.1327232672567487</v>
      </c>
      <c r="AO67" s="5">
        <v>23</v>
      </c>
      <c r="AQ67" s="5">
        <f t="shared" si="3"/>
        <v>225600</v>
      </c>
      <c r="AR67" s="5">
        <v>26</v>
      </c>
      <c r="AS67" s="5">
        <v>30</v>
      </c>
      <c r="AT67" s="5">
        <v>6.5</v>
      </c>
      <c r="AU67" s="48">
        <v>6.0887642299996916</v>
      </c>
      <c r="AV67" s="48">
        <v>7.3432674911970865</v>
      </c>
      <c r="AW67" s="48">
        <v>7.142823991605785</v>
      </c>
      <c r="AY67" s="5">
        <v>15</v>
      </c>
      <c r="AZ67" s="5">
        <v>15</v>
      </c>
      <c r="BA67" s="46">
        <v>45403</v>
      </c>
      <c r="BB67" s="5">
        <v>252000</v>
      </c>
      <c r="BC67" s="5">
        <v>26</v>
      </c>
      <c r="BD67" s="5">
        <v>29</v>
      </c>
      <c r="BE67" s="5">
        <v>6.1</v>
      </c>
      <c r="BF67" s="48">
        <v>7.0648879485425313</v>
      </c>
      <c r="BG67" s="48">
        <v>7.1604614218274971</v>
      </c>
      <c r="BH67" s="48">
        <v>7.1203179508964034</v>
      </c>
      <c r="BI67" s="5">
        <v>0.06</v>
      </c>
      <c r="BJ67" s="5">
        <v>25</v>
      </c>
      <c r="BL67" s="5">
        <f t="shared" si="4"/>
        <v>222780</v>
      </c>
      <c r="BM67" s="5">
        <v>28</v>
      </c>
      <c r="BN67" s="5">
        <v>30</v>
      </c>
      <c r="BO67" s="5">
        <v>6.1</v>
      </c>
      <c r="BP67" s="48">
        <v>6.5520289154724383</v>
      </c>
      <c r="BQ67" s="72">
        <v>7.61107040316059</v>
      </c>
      <c r="BR67" s="48">
        <v>7.5436662523920042</v>
      </c>
      <c r="BS67" s="5">
        <v>0.05</v>
      </c>
      <c r="BT67" s="5">
        <v>23</v>
      </c>
      <c r="BV67" s="5">
        <f t="shared" si="5"/>
        <v>225600</v>
      </c>
      <c r="BW67" s="5">
        <v>26</v>
      </c>
      <c r="BX67" s="5">
        <v>32</v>
      </c>
      <c r="BY67" s="5">
        <v>5.5</v>
      </c>
      <c r="BZ67" s="48">
        <v>5.960861062121305</v>
      </c>
      <c r="CA67" s="48">
        <v>7.7825806997963998</v>
      </c>
      <c r="CB67" s="48">
        <v>7.2516131501576098</v>
      </c>
      <c r="CC67" s="5">
        <v>0.04</v>
      </c>
      <c r="CD67" s="5">
        <v>24</v>
      </c>
      <c r="CF67" s="5">
        <f t="shared" si="6"/>
        <v>225600</v>
      </c>
      <c r="CG67" s="5">
        <v>26</v>
      </c>
      <c r="CH67" s="5">
        <v>32</v>
      </c>
      <c r="CI67" s="5">
        <v>5.9</v>
      </c>
      <c r="CJ67" s="48">
        <v>6.9507081331652314</v>
      </c>
      <c r="CK67" s="48">
        <v>7.2889183249924177</v>
      </c>
      <c r="CL67" s="48">
        <v>7.1155667881886187</v>
      </c>
      <c r="CM67" s="5">
        <v>0.05</v>
      </c>
      <c r="CN67" s="5">
        <v>19</v>
      </c>
      <c r="CP67" s="5">
        <f t="shared" si="7"/>
        <v>222780</v>
      </c>
      <c r="CQ67" s="5">
        <v>26</v>
      </c>
      <c r="CR67" s="5">
        <v>30</v>
      </c>
      <c r="CS67" s="5">
        <v>5.5</v>
      </c>
      <c r="CT67" s="48">
        <v>6.0192679143431462</v>
      </c>
      <c r="CU67" s="48">
        <v>7.3859412778650331</v>
      </c>
      <c r="CV67" s="48">
        <v>7.5148111569301426</v>
      </c>
      <c r="CW67" s="5">
        <v>0.08</v>
      </c>
      <c r="CX67" s="5">
        <v>17</v>
      </c>
    </row>
    <row r="68" spans="1:102" x14ac:dyDescent="0.25">
      <c r="A68" s="5">
        <v>16</v>
      </c>
      <c r="B68" s="46">
        <v>45404</v>
      </c>
      <c r="C68" s="5">
        <v>252000</v>
      </c>
      <c r="D68" s="5">
        <v>26</v>
      </c>
      <c r="E68" s="5">
        <v>29</v>
      </c>
      <c r="F68" s="5">
        <v>5.8</v>
      </c>
      <c r="G68" s="5">
        <v>6.7</v>
      </c>
      <c r="H68" s="48">
        <v>7.1</v>
      </c>
      <c r="I68" s="5">
        <v>7.2</v>
      </c>
      <c r="K68" s="5">
        <v>16</v>
      </c>
      <c r="M68" s="5">
        <f t="shared" si="0"/>
        <v>225600</v>
      </c>
      <c r="N68" s="5">
        <v>27</v>
      </c>
      <c r="O68" s="5">
        <v>32</v>
      </c>
      <c r="P68" s="5">
        <v>6.1</v>
      </c>
      <c r="Q68" s="5">
        <v>6.5</v>
      </c>
      <c r="R68" s="5">
        <v>7.2</v>
      </c>
      <c r="S68" s="48">
        <v>7.6049443181094363</v>
      </c>
      <c r="U68" s="5">
        <v>24</v>
      </c>
      <c r="W68" s="5">
        <f t="shared" si="1"/>
        <v>222780</v>
      </c>
      <c r="X68" s="5">
        <v>29</v>
      </c>
      <c r="Y68" s="5">
        <v>31</v>
      </c>
      <c r="Z68" s="5">
        <v>6.7</v>
      </c>
      <c r="AA68" s="48">
        <v>6.1967967063910301</v>
      </c>
      <c r="AB68" s="48">
        <v>7.7207695557280651</v>
      </c>
      <c r="AC68" s="48">
        <v>7.3194893334787503</v>
      </c>
      <c r="AD68" s="5">
        <v>0.03</v>
      </c>
      <c r="AE68" s="5">
        <v>24</v>
      </c>
      <c r="AG68" s="5">
        <f t="shared" si="2"/>
        <v>225600</v>
      </c>
      <c r="AH68" s="5">
        <v>29</v>
      </c>
      <c r="AI68" s="5">
        <v>30</v>
      </c>
      <c r="AJ68" s="5">
        <v>5.5</v>
      </c>
      <c r="AK68" s="48">
        <v>7.1751728146215523</v>
      </c>
      <c r="AL68" s="48">
        <v>7.3191993491940543</v>
      </c>
      <c r="AM68" s="48">
        <v>7.4783940813899932</v>
      </c>
      <c r="AN68" s="5">
        <v>0.05</v>
      </c>
      <c r="AO68" s="5">
        <v>17</v>
      </c>
      <c r="AQ68" s="5">
        <f t="shared" si="3"/>
        <v>225600</v>
      </c>
      <c r="AR68" s="5">
        <v>29</v>
      </c>
      <c r="AS68" s="5">
        <v>30</v>
      </c>
      <c r="AT68" s="5">
        <v>7.1</v>
      </c>
      <c r="AU68" s="48">
        <v>6.7868362309867898</v>
      </c>
      <c r="AV68" s="48">
        <v>7.6545986777223805</v>
      </c>
      <c r="AW68" s="48">
        <v>7.5732908158265708</v>
      </c>
      <c r="AX68" s="5">
        <v>0.03</v>
      </c>
      <c r="AY68" s="5">
        <v>18</v>
      </c>
      <c r="AZ68" s="5">
        <v>16</v>
      </c>
      <c r="BA68" s="46">
        <v>45404</v>
      </c>
      <c r="BB68" s="5">
        <v>252000</v>
      </c>
      <c r="BC68" s="5">
        <v>27</v>
      </c>
      <c r="BD68" s="5">
        <v>30</v>
      </c>
      <c r="BE68" s="5">
        <v>5.6</v>
      </c>
      <c r="BF68" s="48">
        <v>6.0223425534413053</v>
      </c>
      <c r="BG68" s="48">
        <v>7.2694670459560164</v>
      </c>
      <c r="BH68" s="48">
        <v>7.7711383790774891</v>
      </c>
      <c r="BJ68" s="5">
        <v>22</v>
      </c>
      <c r="BL68" s="5">
        <f t="shared" si="4"/>
        <v>222780</v>
      </c>
      <c r="BM68" s="5">
        <v>29</v>
      </c>
      <c r="BN68" s="5">
        <v>30</v>
      </c>
      <c r="BO68" s="5">
        <v>5.9</v>
      </c>
      <c r="BP68" s="48">
        <v>6.3709794147215382</v>
      </c>
      <c r="BQ68" s="72">
        <v>7.524181163127114</v>
      </c>
      <c r="BR68" s="48">
        <v>7.1671301483087211</v>
      </c>
      <c r="BT68" s="5">
        <v>24</v>
      </c>
      <c r="BV68" s="5">
        <f t="shared" si="5"/>
        <v>225600</v>
      </c>
      <c r="BW68" s="5">
        <v>26</v>
      </c>
      <c r="BX68" s="5">
        <v>29</v>
      </c>
      <c r="BY68" s="5">
        <v>5.5</v>
      </c>
      <c r="BZ68" s="48">
        <v>5.9819915952709017</v>
      </c>
      <c r="CA68" s="48">
        <v>7.2877777129771388</v>
      </c>
      <c r="CB68" s="48">
        <v>7.5058887488980037</v>
      </c>
      <c r="CD68" s="5">
        <v>25</v>
      </c>
      <c r="CF68" s="5">
        <f t="shared" si="6"/>
        <v>225600</v>
      </c>
      <c r="CG68" s="5">
        <v>26</v>
      </c>
      <c r="CH68" s="5">
        <v>32</v>
      </c>
      <c r="CI68" s="5">
        <v>6.8</v>
      </c>
      <c r="CJ68" s="48">
        <v>7.0064042197156473</v>
      </c>
      <c r="CK68" s="48">
        <v>7.4816967803742349</v>
      </c>
      <c r="CL68" s="48">
        <v>7.4265377523146041</v>
      </c>
      <c r="CN68" s="5">
        <v>25</v>
      </c>
      <c r="CP68" s="5">
        <f t="shared" si="7"/>
        <v>222780</v>
      </c>
      <c r="CQ68" s="5">
        <v>28</v>
      </c>
      <c r="CR68" s="5">
        <v>30</v>
      </c>
      <c r="CS68" s="5">
        <v>5.6</v>
      </c>
      <c r="CT68" s="48">
        <v>5.7939362853659659</v>
      </c>
      <c r="CU68" s="48">
        <v>7.3333831359272068</v>
      </c>
      <c r="CV68" s="48">
        <v>7.4031483273373988</v>
      </c>
      <c r="CX68" s="5">
        <v>23</v>
      </c>
    </row>
    <row r="69" spans="1:102" x14ac:dyDescent="0.25">
      <c r="A69" s="5">
        <v>17</v>
      </c>
      <c r="B69" s="46">
        <v>45405</v>
      </c>
      <c r="C69" s="5">
        <v>252000</v>
      </c>
      <c r="D69" s="5">
        <v>26</v>
      </c>
      <c r="E69" s="5">
        <v>30</v>
      </c>
      <c r="F69" s="5">
        <v>6.2</v>
      </c>
      <c r="G69" s="5">
        <v>6.5</v>
      </c>
      <c r="H69" s="48">
        <v>7.1</v>
      </c>
      <c r="I69" s="5">
        <v>7.5</v>
      </c>
      <c r="K69" s="5">
        <v>25</v>
      </c>
      <c r="M69" s="5">
        <f t="shared" si="0"/>
        <v>225600</v>
      </c>
      <c r="N69" s="5">
        <v>26</v>
      </c>
      <c r="O69" s="5">
        <v>29</v>
      </c>
      <c r="P69" s="5">
        <v>5.8</v>
      </c>
      <c r="Q69" s="5">
        <v>5.6</v>
      </c>
      <c r="R69" s="5">
        <v>7.3</v>
      </c>
      <c r="S69" s="48">
        <v>7.6707653860698448</v>
      </c>
      <c r="U69" s="5">
        <v>24</v>
      </c>
      <c r="W69" s="5">
        <f t="shared" si="1"/>
        <v>222780</v>
      </c>
      <c r="X69" s="5">
        <v>28</v>
      </c>
      <c r="Y69" s="5">
        <v>29</v>
      </c>
      <c r="Z69" s="5">
        <v>6.5</v>
      </c>
      <c r="AA69" s="48">
        <v>5.5868464763955545</v>
      </c>
      <c r="AB69" s="48">
        <v>7.6535546681688063</v>
      </c>
      <c r="AC69" s="48">
        <v>7.2912699315728879</v>
      </c>
      <c r="AE69" s="5">
        <v>21</v>
      </c>
      <c r="AG69" s="5">
        <f t="shared" si="2"/>
        <v>225600</v>
      </c>
      <c r="AH69" s="5">
        <v>27</v>
      </c>
      <c r="AI69" s="5">
        <v>32</v>
      </c>
      <c r="AJ69" s="5">
        <v>6.3</v>
      </c>
      <c r="AK69" s="48">
        <v>5.9682614717170601</v>
      </c>
      <c r="AL69" s="48">
        <v>7.1258516947700858</v>
      </c>
      <c r="AM69" s="48">
        <v>7.5723414168554211</v>
      </c>
      <c r="AO69" s="5">
        <v>23</v>
      </c>
      <c r="AQ69" s="5">
        <f t="shared" si="3"/>
        <v>225600</v>
      </c>
      <c r="AR69" s="5">
        <v>28</v>
      </c>
      <c r="AS69" s="5">
        <v>29</v>
      </c>
      <c r="AT69" s="5">
        <v>6.5</v>
      </c>
      <c r="AU69" s="48">
        <v>6.7441962770262043</v>
      </c>
      <c r="AV69" s="48">
        <v>7.1634398068760383</v>
      </c>
      <c r="AW69" s="48">
        <v>7.2167367812651317</v>
      </c>
      <c r="AY69" s="5">
        <v>16</v>
      </c>
      <c r="AZ69" s="5">
        <v>17</v>
      </c>
      <c r="BA69" s="46">
        <v>45405</v>
      </c>
      <c r="BB69" s="5">
        <v>252000</v>
      </c>
      <c r="BC69" s="5">
        <v>29</v>
      </c>
      <c r="BD69" s="5">
        <v>30</v>
      </c>
      <c r="BE69" s="5">
        <v>6.7</v>
      </c>
      <c r="BF69" s="48">
        <v>5.9671515613345969</v>
      </c>
      <c r="BG69" s="48">
        <v>7.779845660205928</v>
      </c>
      <c r="BH69" s="48">
        <v>7.6943504260639557</v>
      </c>
      <c r="BJ69" s="5">
        <v>15</v>
      </c>
      <c r="BL69" s="5">
        <f t="shared" si="4"/>
        <v>222780</v>
      </c>
      <c r="BM69" s="5">
        <v>26</v>
      </c>
      <c r="BN69" s="5">
        <v>32</v>
      </c>
      <c r="BO69" s="5">
        <v>6.9</v>
      </c>
      <c r="BP69" s="48">
        <v>6.4559717502308187</v>
      </c>
      <c r="BQ69" s="72">
        <v>7.188977822467697</v>
      </c>
      <c r="BR69" s="48">
        <v>7.1953837095559416</v>
      </c>
      <c r="BT69" s="5">
        <v>15</v>
      </c>
      <c r="BV69" s="5">
        <f t="shared" si="5"/>
        <v>225600</v>
      </c>
      <c r="BW69" s="5">
        <v>28</v>
      </c>
      <c r="BX69" s="5">
        <v>31</v>
      </c>
      <c r="BY69" s="5">
        <v>5.8</v>
      </c>
      <c r="BZ69" s="48">
        <v>6.1437548549481535</v>
      </c>
      <c r="CA69" s="48">
        <v>7.3552122819178205</v>
      </c>
      <c r="CB69" s="48">
        <v>7.4611420571003872</v>
      </c>
      <c r="CD69" s="5">
        <v>23</v>
      </c>
      <c r="CF69" s="5">
        <f t="shared" si="6"/>
        <v>225600</v>
      </c>
      <c r="CG69" s="5">
        <v>29</v>
      </c>
      <c r="CH69" s="5">
        <v>29</v>
      </c>
      <c r="CI69" s="5">
        <v>6.6</v>
      </c>
      <c r="CJ69" s="48">
        <v>6.9020263269959807</v>
      </c>
      <c r="CK69" s="48">
        <v>7.3812494049066446</v>
      </c>
      <c r="CL69" s="48">
        <v>7.6979117935774566</v>
      </c>
      <c r="CN69" s="5">
        <v>18</v>
      </c>
      <c r="CP69" s="5">
        <f t="shared" si="7"/>
        <v>222780</v>
      </c>
      <c r="CQ69" s="5">
        <v>28</v>
      </c>
      <c r="CR69" s="5">
        <v>30</v>
      </c>
      <c r="CS69" s="5">
        <v>6.6</v>
      </c>
      <c r="CT69" s="48">
        <v>6.3380664129041326</v>
      </c>
      <c r="CU69" s="48">
        <v>7.6719456860924229</v>
      </c>
      <c r="CV69" s="48">
        <v>7.2180969104478434</v>
      </c>
      <c r="CX69" s="5">
        <v>16</v>
      </c>
    </row>
    <row r="70" spans="1:102" x14ac:dyDescent="0.25">
      <c r="A70" s="5">
        <v>18</v>
      </c>
      <c r="B70" s="46">
        <v>45406</v>
      </c>
      <c r="C70" s="5">
        <v>252000</v>
      </c>
      <c r="D70" s="5">
        <v>29</v>
      </c>
      <c r="E70" s="5">
        <v>30</v>
      </c>
      <c r="F70" s="5">
        <v>7</v>
      </c>
      <c r="G70" s="5">
        <v>6.8</v>
      </c>
      <c r="H70" s="48">
        <v>7.2</v>
      </c>
      <c r="I70" s="5">
        <v>7.2</v>
      </c>
      <c r="K70" s="5">
        <v>15</v>
      </c>
      <c r="M70" s="5">
        <f t="shared" si="0"/>
        <v>225600</v>
      </c>
      <c r="N70" s="5">
        <v>26</v>
      </c>
      <c r="O70" s="5">
        <v>29</v>
      </c>
      <c r="P70" s="5">
        <v>6.1</v>
      </c>
      <c r="Q70" s="5">
        <v>5.5</v>
      </c>
      <c r="R70" s="5">
        <v>7.6</v>
      </c>
      <c r="S70" s="48">
        <v>7.7037344173843003</v>
      </c>
      <c r="U70" s="5">
        <v>18</v>
      </c>
      <c r="W70" s="5">
        <f t="shared" si="1"/>
        <v>222780</v>
      </c>
      <c r="X70" s="5">
        <v>29</v>
      </c>
      <c r="Y70" s="5">
        <v>30</v>
      </c>
      <c r="Z70" s="5">
        <v>6.1</v>
      </c>
      <c r="AA70" s="48">
        <v>6.9154399731775129</v>
      </c>
      <c r="AB70" s="48">
        <v>7.218258014999579</v>
      </c>
      <c r="AC70" s="48">
        <v>7.4652768253758577</v>
      </c>
      <c r="AE70" s="5">
        <v>23</v>
      </c>
      <c r="AG70" s="5">
        <f t="shared" si="2"/>
        <v>225600</v>
      </c>
      <c r="AH70" s="5">
        <v>29</v>
      </c>
      <c r="AI70" s="5">
        <v>30</v>
      </c>
      <c r="AJ70" s="5">
        <v>6.6</v>
      </c>
      <c r="AK70" s="48">
        <v>7.0815734405386452</v>
      </c>
      <c r="AL70" s="48">
        <v>7.4216148510017685</v>
      </c>
      <c r="AM70" s="48">
        <v>7.4987061867596942</v>
      </c>
      <c r="AO70" s="5">
        <v>16</v>
      </c>
      <c r="AQ70" s="5">
        <f t="shared" si="3"/>
        <v>225600</v>
      </c>
      <c r="AR70" s="5">
        <v>27</v>
      </c>
      <c r="AS70" s="5">
        <v>31</v>
      </c>
      <c r="AT70" s="5">
        <v>5.8</v>
      </c>
      <c r="AU70" s="48">
        <v>6.6852496528152212</v>
      </c>
      <c r="AV70" s="48">
        <v>7.5681346345608969</v>
      </c>
      <c r="AW70" s="48">
        <v>7.6987617258141174</v>
      </c>
      <c r="AY70" s="5">
        <v>18</v>
      </c>
      <c r="AZ70" s="5">
        <v>18</v>
      </c>
      <c r="BA70" s="46">
        <v>45406</v>
      </c>
      <c r="BB70" s="5">
        <v>252000</v>
      </c>
      <c r="BC70" s="5">
        <v>28</v>
      </c>
      <c r="BD70" s="5">
        <v>32</v>
      </c>
      <c r="BE70" s="5">
        <v>6.3</v>
      </c>
      <c r="BF70" s="48">
        <v>6.2554024057240012</v>
      </c>
      <c r="BG70" s="48">
        <v>7.5437464272815467</v>
      </c>
      <c r="BH70" s="48">
        <v>7.2365103263732387</v>
      </c>
      <c r="BJ70" s="5">
        <v>17</v>
      </c>
      <c r="BL70" s="5">
        <f t="shared" si="4"/>
        <v>222780</v>
      </c>
      <c r="BM70" s="5">
        <v>29</v>
      </c>
      <c r="BN70" s="5">
        <v>32</v>
      </c>
      <c r="BO70" s="5">
        <v>6.8</v>
      </c>
      <c r="BP70" s="48">
        <v>7.0437517542746226</v>
      </c>
      <c r="BQ70" s="72">
        <v>7.368742630548204</v>
      </c>
      <c r="BR70" s="48">
        <v>7.7115295678930229</v>
      </c>
      <c r="BT70" s="5">
        <v>24</v>
      </c>
      <c r="BV70" s="5">
        <f t="shared" si="5"/>
        <v>225600</v>
      </c>
      <c r="BW70" s="5">
        <v>27</v>
      </c>
      <c r="BX70" s="5">
        <v>29</v>
      </c>
      <c r="BY70" s="5">
        <v>6.1</v>
      </c>
      <c r="BZ70" s="48">
        <v>6.0073347993758803</v>
      </c>
      <c r="CA70" s="48">
        <v>7.3507630914255051</v>
      </c>
      <c r="CB70" s="48">
        <v>7.2253962682887787</v>
      </c>
      <c r="CD70" s="5">
        <v>21</v>
      </c>
      <c r="CF70" s="5">
        <f t="shared" si="6"/>
        <v>225600</v>
      </c>
      <c r="CG70" s="5">
        <v>26</v>
      </c>
      <c r="CH70" s="5">
        <v>31</v>
      </c>
      <c r="CI70" s="5">
        <v>5.7</v>
      </c>
      <c r="CJ70" s="48">
        <v>6.395945118105006</v>
      </c>
      <c r="CK70" s="48">
        <v>7.3375877260572384</v>
      </c>
      <c r="CL70" s="48">
        <v>7.6645857375604134</v>
      </c>
      <c r="CN70" s="5">
        <v>20</v>
      </c>
      <c r="CP70" s="5">
        <f t="shared" si="7"/>
        <v>222780</v>
      </c>
      <c r="CQ70" s="5">
        <v>29</v>
      </c>
      <c r="CR70" s="5">
        <v>32</v>
      </c>
      <c r="CS70" s="5">
        <v>5.6</v>
      </c>
      <c r="CT70" s="48">
        <v>7.1456189596025661</v>
      </c>
      <c r="CU70" s="48">
        <v>7.7898710478626807</v>
      </c>
      <c r="CV70" s="48">
        <v>7.1367158004329161</v>
      </c>
      <c r="CX70" s="5">
        <v>18</v>
      </c>
    </row>
    <row r="71" spans="1:102" x14ac:dyDescent="0.25">
      <c r="A71" s="5">
        <v>19</v>
      </c>
      <c r="B71" s="46">
        <v>45407</v>
      </c>
      <c r="C71" s="5">
        <v>252000</v>
      </c>
      <c r="D71" s="5">
        <v>28</v>
      </c>
      <c r="E71" s="5">
        <v>31</v>
      </c>
      <c r="F71" s="5">
        <v>7</v>
      </c>
      <c r="G71" s="5">
        <v>6</v>
      </c>
      <c r="H71" s="48">
        <v>7.1</v>
      </c>
      <c r="I71" s="5">
        <v>7.4</v>
      </c>
      <c r="K71" s="5">
        <v>25</v>
      </c>
      <c r="M71" s="5">
        <f t="shared" si="0"/>
        <v>225600</v>
      </c>
      <c r="N71" s="5">
        <v>26</v>
      </c>
      <c r="O71" s="5">
        <v>32</v>
      </c>
      <c r="P71" s="5">
        <v>6.5</v>
      </c>
      <c r="Q71" s="5">
        <v>6.9</v>
      </c>
      <c r="R71" s="5">
        <v>7.4</v>
      </c>
      <c r="S71" s="48">
        <v>7.211174530002447</v>
      </c>
      <c r="U71" s="5">
        <v>18</v>
      </c>
      <c r="W71" s="5">
        <f t="shared" si="1"/>
        <v>222780</v>
      </c>
      <c r="X71" s="5">
        <v>26</v>
      </c>
      <c r="Y71" s="5">
        <v>30</v>
      </c>
      <c r="Z71" s="5">
        <v>6.1</v>
      </c>
      <c r="AA71" s="48">
        <v>5.7976946701777461</v>
      </c>
      <c r="AB71" s="48">
        <v>7.5760946646812766</v>
      </c>
      <c r="AC71" s="48">
        <v>7.4181970320253301</v>
      </c>
      <c r="AE71" s="5">
        <v>20</v>
      </c>
      <c r="AG71" s="5">
        <f t="shared" si="2"/>
        <v>225600</v>
      </c>
      <c r="AH71" s="5">
        <v>29</v>
      </c>
      <c r="AI71" s="5">
        <v>32</v>
      </c>
      <c r="AJ71" s="5">
        <v>7.1</v>
      </c>
      <c r="AK71" s="48">
        <v>6.9275126445379787</v>
      </c>
      <c r="AL71" s="48">
        <v>7.72387377376897</v>
      </c>
      <c r="AM71" s="48">
        <v>7.7803672715643053</v>
      </c>
      <c r="AO71" s="5">
        <v>19</v>
      </c>
      <c r="AQ71" s="5">
        <f t="shared" si="3"/>
        <v>225600</v>
      </c>
      <c r="AR71" s="5">
        <v>29</v>
      </c>
      <c r="AS71" s="5">
        <v>30</v>
      </c>
      <c r="AT71" s="5">
        <v>5.8</v>
      </c>
      <c r="AU71" s="48">
        <v>6.9224120337480324</v>
      </c>
      <c r="AV71" s="48">
        <v>7.5952627611454888</v>
      </c>
      <c r="AW71" s="48">
        <v>7.6536322436203443</v>
      </c>
      <c r="AY71" s="5">
        <v>21</v>
      </c>
      <c r="AZ71" s="5">
        <v>19</v>
      </c>
      <c r="BA71" s="46">
        <v>45407</v>
      </c>
      <c r="BB71" s="5">
        <v>252000</v>
      </c>
      <c r="BC71" s="5">
        <v>29</v>
      </c>
      <c r="BD71" s="5">
        <v>29</v>
      </c>
      <c r="BE71" s="5">
        <v>6.9</v>
      </c>
      <c r="BF71" s="48">
        <v>6.2812137296386927</v>
      </c>
      <c r="BG71" s="48">
        <v>7.7515256146417091</v>
      </c>
      <c r="BH71" s="48">
        <v>7.2991942986907281</v>
      </c>
      <c r="BJ71" s="5">
        <v>17</v>
      </c>
      <c r="BL71" s="5">
        <f t="shared" si="4"/>
        <v>222780</v>
      </c>
      <c r="BM71" s="5">
        <v>29</v>
      </c>
      <c r="BN71" s="5">
        <v>29</v>
      </c>
      <c r="BO71" s="5">
        <v>6</v>
      </c>
      <c r="BP71" s="48">
        <v>5.7369090591188669</v>
      </c>
      <c r="BQ71" s="72">
        <v>7.5781862576207049</v>
      </c>
      <c r="BR71" s="48">
        <v>7.7468419728790563</v>
      </c>
      <c r="BT71" s="5">
        <v>22</v>
      </c>
      <c r="BV71" s="5">
        <f t="shared" si="5"/>
        <v>225600</v>
      </c>
      <c r="BW71" s="5">
        <v>27</v>
      </c>
      <c r="BX71" s="5">
        <v>32</v>
      </c>
      <c r="BY71" s="5">
        <v>6.7</v>
      </c>
      <c r="BZ71" s="48">
        <v>6.2796552651351067</v>
      </c>
      <c r="CA71" s="48">
        <v>7.390363852107412</v>
      </c>
      <c r="CB71" s="48">
        <v>7.5815338602476086</v>
      </c>
      <c r="CD71" s="5">
        <v>18</v>
      </c>
      <c r="CF71" s="5">
        <f t="shared" si="6"/>
        <v>225600</v>
      </c>
      <c r="CG71" s="5">
        <v>26</v>
      </c>
      <c r="CH71" s="5">
        <v>29</v>
      </c>
      <c r="CI71" s="5">
        <v>6.5</v>
      </c>
      <c r="CJ71" s="48">
        <v>6.4577137911570768</v>
      </c>
      <c r="CK71" s="48">
        <v>7.454918756076343</v>
      </c>
      <c r="CL71" s="48">
        <v>7.1265808888394995</v>
      </c>
      <c r="CN71" s="5">
        <v>21</v>
      </c>
      <c r="CP71" s="5">
        <f t="shared" si="7"/>
        <v>222780</v>
      </c>
      <c r="CQ71" s="5">
        <v>26</v>
      </c>
      <c r="CR71" s="5">
        <v>29</v>
      </c>
      <c r="CS71" s="5">
        <v>6.4</v>
      </c>
      <c r="CT71" s="48">
        <v>6.0690285610160668</v>
      </c>
      <c r="CU71" s="48">
        <v>7.1405293806336125</v>
      </c>
      <c r="CV71" s="48">
        <v>7.4592105058882767</v>
      </c>
      <c r="CX71" s="5">
        <v>18</v>
      </c>
    </row>
    <row r="72" spans="1:102" x14ac:dyDescent="0.25">
      <c r="A72" s="5">
        <v>20</v>
      </c>
      <c r="B72" s="46">
        <v>45408</v>
      </c>
      <c r="C72" s="5">
        <v>252000</v>
      </c>
      <c r="D72" s="5">
        <v>27</v>
      </c>
      <c r="E72" s="5">
        <v>31</v>
      </c>
      <c r="F72" s="5">
        <v>6</v>
      </c>
      <c r="G72" s="5">
        <v>6.2</v>
      </c>
      <c r="H72" s="48">
        <v>7.6</v>
      </c>
      <c r="I72" s="5">
        <v>7.5</v>
      </c>
      <c r="K72" s="5">
        <v>17</v>
      </c>
      <c r="M72" s="5">
        <f t="shared" si="0"/>
        <v>225600</v>
      </c>
      <c r="N72" s="5">
        <v>27</v>
      </c>
      <c r="O72" s="5">
        <v>30</v>
      </c>
      <c r="P72" s="5">
        <v>6.7</v>
      </c>
      <c r="Q72" s="5">
        <v>6.3</v>
      </c>
      <c r="R72" s="5">
        <v>7.3</v>
      </c>
      <c r="S72" s="48">
        <v>7.4095666571949721</v>
      </c>
      <c r="U72" s="5">
        <v>18</v>
      </c>
      <c r="W72" s="5">
        <f t="shared" si="1"/>
        <v>222780</v>
      </c>
      <c r="X72" s="5">
        <v>28</v>
      </c>
      <c r="Y72" s="5">
        <v>31</v>
      </c>
      <c r="Z72" s="5">
        <v>5.9</v>
      </c>
      <c r="AA72" s="48">
        <v>6.3656558976690452</v>
      </c>
      <c r="AB72" s="48">
        <v>7.6236350977195473</v>
      </c>
      <c r="AC72" s="48">
        <v>7.4712482946489303</v>
      </c>
      <c r="AE72" s="5">
        <v>17</v>
      </c>
      <c r="AG72" s="5">
        <f t="shared" si="2"/>
        <v>225600</v>
      </c>
      <c r="AH72" s="5">
        <v>27</v>
      </c>
      <c r="AI72" s="5">
        <v>29</v>
      </c>
      <c r="AJ72" s="5">
        <v>6</v>
      </c>
      <c r="AK72" s="48">
        <v>6.1015726476447778</v>
      </c>
      <c r="AL72" s="48">
        <v>7.1728086993226405</v>
      </c>
      <c r="AM72" s="48">
        <v>7.6123676702817722</v>
      </c>
      <c r="AO72" s="5">
        <v>15</v>
      </c>
      <c r="AQ72" s="5">
        <f t="shared" si="3"/>
        <v>225600</v>
      </c>
      <c r="AR72" s="5">
        <v>29</v>
      </c>
      <c r="AS72" s="5">
        <v>29</v>
      </c>
      <c r="AT72" s="5">
        <v>5.5</v>
      </c>
      <c r="AU72" s="48">
        <v>5.8527871609108271</v>
      </c>
      <c r="AV72" s="48">
        <v>7.5713438197701581</v>
      </c>
      <c r="AW72" s="48">
        <v>7.7577319914759713</v>
      </c>
      <c r="AY72" s="5">
        <v>23</v>
      </c>
      <c r="AZ72" s="5">
        <v>20</v>
      </c>
      <c r="BA72" s="46">
        <v>45408</v>
      </c>
      <c r="BB72" s="5">
        <v>252000</v>
      </c>
      <c r="BC72" s="5">
        <v>26</v>
      </c>
      <c r="BD72" s="5">
        <v>30</v>
      </c>
      <c r="BE72" s="5">
        <v>6.3</v>
      </c>
      <c r="BF72" s="48">
        <v>5.841802891275627</v>
      </c>
      <c r="BG72" s="48">
        <v>7.3483042692871576</v>
      </c>
      <c r="BH72" s="48">
        <v>7.5999739345408681</v>
      </c>
      <c r="BJ72" s="5">
        <v>18</v>
      </c>
      <c r="BL72" s="5">
        <f t="shared" si="4"/>
        <v>222780</v>
      </c>
      <c r="BM72" s="5">
        <v>27</v>
      </c>
      <c r="BN72" s="5">
        <v>31</v>
      </c>
      <c r="BO72" s="5">
        <v>5.9</v>
      </c>
      <c r="BP72" s="48">
        <v>7.1810696395639955</v>
      </c>
      <c r="BQ72" s="73">
        <v>7.7307310616857592</v>
      </c>
      <c r="BR72" s="48">
        <v>7.4875251015839623</v>
      </c>
      <c r="BT72" s="5">
        <v>20</v>
      </c>
      <c r="BV72" s="5">
        <f t="shared" si="5"/>
        <v>225600</v>
      </c>
      <c r="BW72" s="5">
        <v>29</v>
      </c>
      <c r="BX72" s="5">
        <v>30</v>
      </c>
      <c r="BY72" s="5">
        <v>6.1</v>
      </c>
      <c r="BZ72" s="48">
        <v>6.5596133116255073</v>
      </c>
      <c r="CA72" s="48">
        <v>7.3414102965181831</v>
      </c>
      <c r="CB72" s="48">
        <v>7.4852114511007368</v>
      </c>
      <c r="CD72" s="5">
        <v>23</v>
      </c>
      <c r="CF72" s="5">
        <f t="shared" si="6"/>
        <v>225600</v>
      </c>
      <c r="CG72" s="5">
        <v>29</v>
      </c>
      <c r="CH72" s="5">
        <v>30</v>
      </c>
      <c r="CI72" s="5">
        <v>5.9</v>
      </c>
      <c r="CJ72" s="48">
        <v>6.5197753964248406</v>
      </c>
      <c r="CK72" s="48">
        <v>7.4837650216062093</v>
      </c>
      <c r="CL72" s="48">
        <v>7.7249928993498456</v>
      </c>
      <c r="CN72" s="5">
        <v>17</v>
      </c>
      <c r="CP72" s="5">
        <f t="shared" si="7"/>
        <v>222780</v>
      </c>
      <c r="CQ72" s="5">
        <v>29</v>
      </c>
      <c r="CR72" s="5">
        <v>31</v>
      </c>
      <c r="CS72" s="5">
        <v>6.9</v>
      </c>
      <c r="CT72" s="48">
        <v>5.9688389818902881</v>
      </c>
      <c r="CU72" s="48">
        <v>7.3852814663999062</v>
      </c>
      <c r="CV72" s="48">
        <v>7.3863037036386912</v>
      </c>
      <c r="CX72" s="5">
        <v>25</v>
      </c>
    </row>
    <row r="73" spans="1:102" x14ac:dyDescent="0.25">
      <c r="A73" s="5">
        <v>21</v>
      </c>
      <c r="B73" s="46">
        <v>45409</v>
      </c>
      <c r="C73" s="5">
        <v>252000</v>
      </c>
      <c r="D73" s="5">
        <v>26</v>
      </c>
      <c r="E73" s="5">
        <v>31</v>
      </c>
      <c r="F73" s="5">
        <v>6.4</v>
      </c>
      <c r="G73" s="5">
        <v>7</v>
      </c>
      <c r="H73" s="5">
        <v>7.5</v>
      </c>
      <c r="I73" s="5">
        <v>7.3</v>
      </c>
      <c r="K73" s="5">
        <v>21</v>
      </c>
      <c r="M73" s="5">
        <f t="shared" si="0"/>
        <v>225600</v>
      </c>
      <c r="N73" s="5">
        <v>28</v>
      </c>
      <c r="O73" s="5">
        <v>29</v>
      </c>
      <c r="P73" s="5">
        <v>6.9</v>
      </c>
      <c r="Q73" s="5">
        <v>5.7</v>
      </c>
      <c r="R73" s="5">
        <v>7.1</v>
      </c>
      <c r="S73" s="48">
        <v>7.7878399629513053</v>
      </c>
      <c r="U73" s="5">
        <v>19</v>
      </c>
      <c r="W73" s="5">
        <f t="shared" si="1"/>
        <v>222780</v>
      </c>
      <c r="X73" s="5">
        <v>26</v>
      </c>
      <c r="Y73" s="5">
        <v>32</v>
      </c>
      <c r="Z73" s="5">
        <v>5.6</v>
      </c>
      <c r="AA73" s="48">
        <v>6.0330667067668076</v>
      </c>
      <c r="AB73" s="48">
        <v>7.4759469334268438</v>
      </c>
      <c r="AC73" s="48">
        <v>7.4794473918003863</v>
      </c>
      <c r="AE73" s="5">
        <v>15</v>
      </c>
      <c r="AG73" s="5">
        <f t="shared" si="2"/>
        <v>225600</v>
      </c>
      <c r="AH73" s="5">
        <v>27</v>
      </c>
      <c r="AI73" s="5">
        <v>31</v>
      </c>
      <c r="AJ73" s="5">
        <v>7</v>
      </c>
      <c r="AK73" s="48">
        <v>5.7578691333766017</v>
      </c>
      <c r="AL73" s="48">
        <v>7.1203404579470808</v>
      </c>
      <c r="AM73" s="48">
        <v>7.6051070993328471</v>
      </c>
      <c r="AO73" s="5">
        <v>24</v>
      </c>
      <c r="AQ73" s="5">
        <f t="shared" si="3"/>
        <v>225600</v>
      </c>
      <c r="AR73" s="5">
        <v>27</v>
      </c>
      <c r="AS73" s="5">
        <v>31</v>
      </c>
      <c r="AT73" s="5">
        <v>6</v>
      </c>
      <c r="AU73" s="48">
        <v>5.6039612482995116</v>
      </c>
      <c r="AV73" s="48">
        <v>7.5713183542952978</v>
      </c>
      <c r="AW73" s="48">
        <v>7.6277295353051642</v>
      </c>
      <c r="AY73" s="5">
        <v>18</v>
      </c>
      <c r="AZ73" s="5">
        <v>21</v>
      </c>
      <c r="BA73" s="46">
        <v>45409</v>
      </c>
      <c r="BB73" s="5">
        <v>252000</v>
      </c>
      <c r="BC73" s="5">
        <v>26</v>
      </c>
      <c r="BD73" s="5">
        <v>31</v>
      </c>
      <c r="BE73" s="5">
        <v>5.9</v>
      </c>
      <c r="BF73" s="48">
        <v>6.8113971298688814</v>
      </c>
      <c r="BG73" s="48">
        <v>7.7669232489471955</v>
      </c>
      <c r="BH73" s="48">
        <v>7.4600438676062888</v>
      </c>
      <c r="BJ73" s="5">
        <v>20</v>
      </c>
      <c r="BL73" s="5">
        <f t="shared" si="4"/>
        <v>222780</v>
      </c>
      <c r="BM73" s="5">
        <v>26</v>
      </c>
      <c r="BN73" s="5">
        <v>31</v>
      </c>
      <c r="BO73" s="5">
        <v>7</v>
      </c>
      <c r="BP73" s="48">
        <v>6.4622372013272509</v>
      </c>
      <c r="BQ73" s="73">
        <v>7.2385387083001334</v>
      </c>
      <c r="BR73" s="48">
        <v>7.4012570067933927</v>
      </c>
      <c r="BT73" s="5">
        <v>23</v>
      </c>
      <c r="BV73" s="5">
        <f t="shared" si="5"/>
        <v>225600</v>
      </c>
      <c r="BW73" s="5">
        <v>26</v>
      </c>
      <c r="BX73" s="5">
        <v>30</v>
      </c>
      <c r="BY73" s="5">
        <v>6</v>
      </c>
      <c r="BZ73" s="48">
        <v>5.8652317928535798</v>
      </c>
      <c r="CA73" s="48">
        <v>7.1367905359672505</v>
      </c>
      <c r="CB73" s="48">
        <v>7.1799889197049493</v>
      </c>
      <c r="CD73" s="5">
        <v>21</v>
      </c>
      <c r="CF73" s="5">
        <f t="shared" si="6"/>
        <v>225600</v>
      </c>
      <c r="CG73" s="5">
        <v>28</v>
      </c>
      <c r="CH73" s="5">
        <v>31</v>
      </c>
      <c r="CI73" s="5">
        <v>6.8</v>
      </c>
      <c r="CJ73" s="48">
        <v>5.6979788399639277</v>
      </c>
      <c r="CK73" s="48">
        <v>7.5850027390953656</v>
      </c>
      <c r="CL73" s="48">
        <v>7.1737496959617957</v>
      </c>
      <c r="CN73" s="5">
        <v>15</v>
      </c>
      <c r="CP73" s="5">
        <f t="shared" si="7"/>
        <v>222780</v>
      </c>
      <c r="CQ73" s="5">
        <v>29</v>
      </c>
      <c r="CR73" s="5">
        <v>32</v>
      </c>
      <c r="CS73" s="5">
        <v>6.7</v>
      </c>
      <c r="CT73" s="48">
        <v>6.4881990274608183</v>
      </c>
      <c r="CU73" s="48">
        <v>7.1251262278449916</v>
      </c>
      <c r="CV73" s="48">
        <v>7.2816147580264934</v>
      </c>
      <c r="CX73" s="5">
        <v>25</v>
      </c>
    </row>
    <row r="74" spans="1:102" x14ac:dyDescent="0.25">
      <c r="A74" s="5">
        <v>22</v>
      </c>
      <c r="B74" s="46">
        <v>45410</v>
      </c>
      <c r="C74" s="5">
        <v>252000</v>
      </c>
      <c r="D74" s="5">
        <v>27</v>
      </c>
      <c r="E74" s="5">
        <v>30</v>
      </c>
      <c r="F74" s="5">
        <v>5.5</v>
      </c>
      <c r="G74" s="5">
        <v>6.4</v>
      </c>
      <c r="H74" s="5">
        <v>7.1</v>
      </c>
      <c r="I74" s="5">
        <v>7.4</v>
      </c>
      <c r="K74" s="5">
        <v>22</v>
      </c>
      <c r="M74" s="5">
        <f t="shared" si="0"/>
        <v>225600</v>
      </c>
      <c r="N74" s="5">
        <v>26</v>
      </c>
      <c r="O74" s="5">
        <v>30</v>
      </c>
      <c r="P74" s="5">
        <v>6.5</v>
      </c>
      <c r="Q74" s="5">
        <v>5.5</v>
      </c>
      <c r="R74" s="5">
        <v>7.2</v>
      </c>
      <c r="S74" s="48">
        <v>7.2193674318168899</v>
      </c>
      <c r="U74" s="5">
        <v>21</v>
      </c>
      <c r="W74" s="5">
        <f t="shared" si="1"/>
        <v>222780</v>
      </c>
      <c r="X74" s="5">
        <v>27</v>
      </c>
      <c r="Y74" s="5">
        <v>30</v>
      </c>
      <c r="Z74" s="5">
        <v>6.6</v>
      </c>
      <c r="AA74" s="48">
        <v>6.9753845354300417</v>
      </c>
      <c r="AB74" s="48">
        <v>7.7327718123528042</v>
      </c>
      <c r="AC74" s="48">
        <v>7.7786812754294754</v>
      </c>
      <c r="AE74" s="5">
        <v>23</v>
      </c>
      <c r="AG74" s="5">
        <f t="shared" si="2"/>
        <v>225600</v>
      </c>
      <c r="AH74" s="5">
        <v>29</v>
      </c>
      <c r="AI74" s="5">
        <v>31</v>
      </c>
      <c r="AJ74" s="5">
        <v>6.2</v>
      </c>
      <c r="AK74" s="48">
        <v>5.8160900517136476</v>
      </c>
      <c r="AL74" s="48">
        <v>7.1107562174388548</v>
      </c>
      <c r="AM74" s="48">
        <v>7.23881406124144</v>
      </c>
      <c r="AO74" s="5">
        <v>22</v>
      </c>
      <c r="AQ74" s="5">
        <f t="shared" si="3"/>
        <v>225600</v>
      </c>
      <c r="AR74" s="5">
        <v>28</v>
      </c>
      <c r="AS74" s="5">
        <v>31</v>
      </c>
      <c r="AT74" s="5">
        <v>5.5</v>
      </c>
      <c r="AU74" s="48">
        <v>6.9075163154017103</v>
      </c>
      <c r="AV74" s="48">
        <v>7.3705950236612923</v>
      </c>
      <c r="AW74" s="48">
        <v>7.1975824736056033</v>
      </c>
      <c r="AY74" s="5">
        <v>15</v>
      </c>
      <c r="AZ74" s="5">
        <v>22</v>
      </c>
      <c r="BA74" s="46">
        <v>45410</v>
      </c>
      <c r="BB74" s="5">
        <v>252000</v>
      </c>
      <c r="BC74" s="5">
        <v>26</v>
      </c>
      <c r="BD74" s="5">
        <v>32</v>
      </c>
      <c r="BE74" s="5">
        <v>5.9</v>
      </c>
      <c r="BF74" s="48">
        <v>6.0576327991446313</v>
      </c>
      <c r="BG74" s="48">
        <v>7.5757259207544987</v>
      </c>
      <c r="BH74" s="48">
        <v>7.1582699369677369</v>
      </c>
      <c r="BJ74" s="5">
        <v>20</v>
      </c>
      <c r="BL74" s="5">
        <f t="shared" si="4"/>
        <v>222780</v>
      </c>
      <c r="BM74" s="5">
        <v>26</v>
      </c>
      <c r="BN74" s="5">
        <v>32</v>
      </c>
      <c r="BO74" s="5">
        <v>5.7</v>
      </c>
      <c r="BP74" s="48">
        <v>6.2030304824226468</v>
      </c>
      <c r="BQ74" s="73">
        <v>7.377568459855004</v>
      </c>
      <c r="BR74" s="48">
        <v>7.4111882952193255</v>
      </c>
      <c r="BT74" s="5">
        <v>25</v>
      </c>
      <c r="BV74" s="5">
        <f t="shared" si="5"/>
        <v>225600</v>
      </c>
      <c r="BW74" s="5">
        <v>28</v>
      </c>
      <c r="BX74" s="5">
        <v>32</v>
      </c>
      <c r="BY74" s="5">
        <v>5.7</v>
      </c>
      <c r="BZ74" s="48">
        <v>6.9984396195140146</v>
      </c>
      <c r="CA74" s="48">
        <v>7.1446106111767529</v>
      </c>
      <c r="CB74" s="48">
        <v>7.7356568107086172</v>
      </c>
      <c r="CD74" s="5">
        <v>19</v>
      </c>
      <c r="CF74" s="5">
        <f t="shared" si="6"/>
        <v>225600</v>
      </c>
      <c r="CG74" s="5">
        <v>29</v>
      </c>
      <c r="CH74" s="5">
        <v>32</v>
      </c>
      <c r="CI74" s="5">
        <v>6.3</v>
      </c>
      <c r="CJ74" s="48">
        <v>6.6629085639788945</v>
      </c>
      <c r="CK74" s="48">
        <v>7.7694251620077637</v>
      </c>
      <c r="CL74" s="48">
        <v>7.214537574963483</v>
      </c>
      <c r="CN74" s="5">
        <v>25</v>
      </c>
      <c r="CP74" s="5">
        <f t="shared" si="7"/>
        <v>222780</v>
      </c>
      <c r="CQ74" s="5">
        <v>29</v>
      </c>
      <c r="CR74" s="5">
        <v>29</v>
      </c>
      <c r="CS74" s="5">
        <v>6.4</v>
      </c>
      <c r="CT74" s="48">
        <v>6.8880893268037831</v>
      </c>
      <c r="CU74" s="48">
        <v>7.2207116334880936</v>
      </c>
      <c r="CV74" s="48">
        <v>7.5987070797109988</v>
      </c>
      <c r="CX74" s="5">
        <v>16</v>
      </c>
    </row>
    <row r="75" spans="1:102" x14ac:dyDescent="0.25">
      <c r="A75" s="5">
        <v>23</v>
      </c>
      <c r="B75" s="46">
        <v>45411</v>
      </c>
      <c r="C75" s="5">
        <v>252000</v>
      </c>
      <c r="D75" s="5">
        <v>29</v>
      </c>
      <c r="E75" s="5">
        <v>30</v>
      </c>
      <c r="F75" s="5">
        <v>6.4</v>
      </c>
      <c r="G75" s="5">
        <v>6.8</v>
      </c>
      <c r="H75" s="5">
        <v>7.2</v>
      </c>
      <c r="I75" s="5">
        <v>7.3</v>
      </c>
      <c r="K75" s="5">
        <v>20</v>
      </c>
      <c r="M75" s="5">
        <f t="shared" si="0"/>
        <v>225600</v>
      </c>
      <c r="N75" s="5">
        <v>29</v>
      </c>
      <c r="O75" s="5">
        <v>29</v>
      </c>
      <c r="P75" s="5">
        <v>6.5</v>
      </c>
      <c r="Q75" s="5">
        <v>5.5</v>
      </c>
      <c r="R75" s="5">
        <v>7.3</v>
      </c>
      <c r="S75" s="48">
        <v>7.692888758319234</v>
      </c>
      <c r="U75" s="5">
        <v>23</v>
      </c>
      <c r="W75" s="5">
        <f t="shared" si="1"/>
        <v>222780</v>
      </c>
      <c r="X75" s="5">
        <v>28</v>
      </c>
      <c r="Y75" s="5">
        <v>31</v>
      </c>
      <c r="Z75" s="5">
        <v>6.3</v>
      </c>
      <c r="AA75" s="48">
        <v>7.0873038875548451</v>
      </c>
      <c r="AB75" s="48">
        <v>7.3872456816146039</v>
      </c>
      <c r="AC75" s="48">
        <v>7.1304826861531598</v>
      </c>
      <c r="AE75" s="5">
        <v>21</v>
      </c>
      <c r="AG75" s="5">
        <f t="shared" si="2"/>
        <v>225600</v>
      </c>
      <c r="AH75" s="5">
        <v>29</v>
      </c>
      <c r="AI75" s="5">
        <v>29</v>
      </c>
      <c r="AJ75" s="5">
        <v>5.8</v>
      </c>
      <c r="AK75" s="48">
        <v>6.465047072740111</v>
      </c>
      <c r="AL75" s="48">
        <v>7.6352433480428559</v>
      </c>
      <c r="AM75" s="48">
        <v>7.6643038808993715</v>
      </c>
      <c r="AO75" s="5">
        <v>20</v>
      </c>
      <c r="AQ75" s="5">
        <f t="shared" si="3"/>
        <v>225600</v>
      </c>
      <c r="AR75" s="5">
        <v>27</v>
      </c>
      <c r="AS75" s="5">
        <v>31</v>
      </c>
      <c r="AT75" s="5">
        <v>6.1</v>
      </c>
      <c r="AU75" s="48">
        <v>5.7634759833642262</v>
      </c>
      <c r="AV75" s="48">
        <v>7.3581539013162711</v>
      </c>
      <c r="AW75" s="48">
        <v>7.6001844861514005</v>
      </c>
      <c r="AY75" s="5">
        <v>24</v>
      </c>
      <c r="AZ75" s="5">
        <v>23</v>
      </c>
      <c r="BA75" s="46">
        <v>45411</v>
      </c>
      <c r="BB75" s="5">
        <v>252000</v>
      </c>
      <c r="BC75" s="5">
        <v>29</v>
      </c>
      <c r="BD75" s="5">
        <v>30</v>
      </c>
      <c r="BE75" s="5">
        <v>7</v>
      </c>
      <c r="BF75" s="48">
        <v>6.4291220877747239</v>
      </c>
      <c r="BG75" s="48">
        <v>7.4705825371199719</v>
      </c>
      <c r="BH75" s="48">
        <v>7.7335741248818346</v>
      </c>
      <c r="BJ75" s="5">
        <v>23</v>
      </c>
      <c r="BL75" s="5">
        <f t="shared" si="4"/>
        <v>222780</v>
      </c>
      <c r="BM75" s="5">
        <v>27</v>
      </c>
      <c r="BN75" s="5">
        <v>30</v>
      </c>
      <c r="BO75" s="5">
        <v>6.6</v>
      </c>
      <c r="BP75" s="48">
        <v>6.9684695751318229</v>
      </c>
      <c r="BQ75" s="73">
        <v>7.4787611541331387</v>
      </c>
      <c r="BR75" s="48">
        <v>7.2695470901569141</v>
      </c>
      <c r="BT75" s="5">
        <v>19</v>
      </c>
      <c r="BV75" s="5">
        <f t="shared" si="5"/>
        <v>225600</v>
      </c>
      <c r="BW75" s="5">
        <v>26</v>
      </c>
      <c r="BX75" s="5">
        <v>30</v>
      </c>
      <c r="BY75" s="5">
        <v>5.9</v>
      </c>
      <c r="BZ75" s="48">
        <v>6.390810212811477</v>
      </c>
      <c r="CA75" s="48">
        <v>7.1964391914495032</v>
      </c>
      <c r="CB75" s="48">
        <v>7.2626432929947091</v>
      </c>
      <c r="CD75" s="5">
        <v>16</v>
      </c>
      <c r="CF75" s="5">
        <f t="shared" si="6"/>
        <v>225600</v>
      </c>
      <c r="CG75" s="5">
        <v>26</v>
      </c>
      <c r="CH75" s="5">
        <v>32</v>
      </c>
      <c r="CI75" s="5">
        <v>6.4</v>
      </c>
      <c r="CJ75" s="48">
        <v>5.7441745189976654</v>
      </c>
      <c r="CK75" s="48">
        <v>7.6349773289246432</v>
      </c>
      <c r="CL75" s="48">
        <v>7.1343609329591153</v>
      </c>
      <c r="CN75" s="5">
        <v>25</v>
      </c>
      <c r="CP75" s="5">
        <f t="shared" si="7"/>
        <v>222780</v>
      </c>
      <c r="CQ75" s="5">
        <v>26</v>
      </c>
      <c r="CR75" s="5">
        <v>29</v>
      </c>
      <c r="CS75" s="5">
        <v>6.6</v>
      </c>
      <c r="CT75" s="48">
        <v>7.1665994706851031</v>
      </c>
      <c r="CU75" s="48">
        <v>7.5430298527286599</v>
      </c>
      <c r="CV75" s="48">
        <v>7.4694723961129146</v>
      </c>
      <c r="CX75" s="5">
        <v>20</v>
      </c>
    </row>
    <row r="76" spans="1:102" x14ac:dyDescent="0.25">
      <c r="A76" s="5">
        <v>24</v>
      </c>
      <c r="B76" s="46">
        <v>45412</v>
      </c>
      <c r="C76" s="5">
        <v>252000</v>
      </c>
      <c r="D76" s="5">
        <v>29</v>
      </c>
      <c r="E76" s="5">
        <v>30</v>
      </c>
      <c r="F76" s="5">
        <v>6.8</v>
      </c>
      <c r="G76" s="5">
        <v>6.4</v>
      </c>
      <c r="H76" s="5">
        <v>7.4</v>
      </c>
      <c r="I76" s="5">
        <v>7.3</v>
      </c>
      <c r="K76" s="5">
        <v>19</v>
      </c>
      <c r="M76" s="5">
        <f t="shared" si="0"/>
        <v>225600</v>
      </c>
      <c r="N76" s="5">
        <v>29</v>
      </c>
      <c r="O76" s="5">
        <v>31</v>
      </c>
      <c r="P76" s="5">
        <v>6.6</v>
      </c>
      <c r="Q76" s="5">
        <v>6.1</v>
      </c>
      <c r="R76" s="5">
        <v>7.1</v>
      </c>
      <c r="S76" s="48">
        <v>7.1739098505326471</v>
      </c>
      <c r="U76" s="5">
        <v>21</v>
      </c>
      <c r="W76" s="5">
        <f t="shared" si="1"/>
        <v>222780</v>
      </c>
      <c r="X76" s="5">
        <v>27</v>
      </c>
      <c r="Y76" s="5">
        <v>31</v>
      </c>
      <c r="Z76" s="5">
        <v>5.5</v>
      </c>
      <c r="AA76" s="48">
        <v>5.6105346276765573</v>
      </c>
      <c r="AB76" s="48">
        <v>7.2721020925637276</v>
      </c>
      <c r="AC76" s="48">
        <v>7.6110754053336729</v>
      </c>
      <c r="AE76" s="5">
        <v>24</v>
      </c>
      <c r="AG76" s="5">
        <f t="shared" si="2"/>
        <v>225600</v>
      </c>
      <c r="AH76" s="5">
        <v>28</v>
      </c>
      <c r="AI76" s="5">
        <v>30</v>
      </c>
      <c r="AJ76" s="5">
        <v>5.8</v>
      </c>
      <c r="AK76" s="48">
        <v>6.8461973447231985</v>
      </c>
      <c r="AL76" s="48">
        <v>7.7414160669208023</v>
      </c>
      <c r="AM76" s="48">
        <v>7.6016776153531769</v>
      </c>
      <c r="AO76" s="5">
        <v>15</v>
      </c>
      <c r="AQ76" s="5">
        <f t="shared" si="3"/>
        <v>225600</v>
      </c>
      <c r="AR76" s="5">
        <v>28</v>
      </c>
      <c r="AS76" s="5">
        <v>30</v>
      </c>
      <c r="AT76" s="5">
        <v>6.7</v>
      </c>
      <c r="AU76" s="48">
        <v>6.3356149744346819</v>
      </c>
      <c r="AV76" s="48">
        <v>7.4542360924567879</v>
      </c>
      <c r="AW76" s="48">
        <v>7.5808448585134096</v>
      </c>
      <c r="AY76" s="5">
        <v>22</v>
      </c>
      <c r="AZ76" s="5">
        <v>24</v>
      </c>
      <c r="BA76" s="46">
        <v>45412</v>
      </c>
      <c r="BB76" s="5">
        <v>252000</v>
      </c>
      <c r="BC76" s="5">
        <v>26</v>
      </c>
      <c r="BD76" s="5">
        <v>29</v>
      </c>
      <c r="BE76" s="5">
        <v>6.4</v>
      </c>
      <c r="BF76" s="48">
        <v>6.6761860278160698</v>
      </c>
      <c r="BG76" s="48">
        <v>7.5437011536892689</v>
      </c>
      <c r="BH76" s="48">
        <v>7.6728680255588948</v>
      </c>
      <c r="BJ76" s="5">
        <v>23</v>
      </c>
      <c r="BL76" s="5">
        <f t="shared" si="4"/>
        <v>222780</v>
      </c>
      <c r="BM76" s="5">
        <v>29</v>
      </c>
      <c r="BN76" s="5">
        <v>29</v>
      </c>
      <c r="BO76" s="5">
        <v>6.5</v>
      </c>
      <c r="BP76" s="48">
        <v>6.586514278918469</v>
      </c>
      <c r="BQ76" s="73">
        <v>7.7596075134363289</v>
      </c>
      <c r="BR76" s="48">
        <v>7.1864895349238918</v>
      </c>
      <c r="BT76" s="5">
        <v>24</v>
      </c>
      <c r="BV76" s="5">
        <f t="shared" si="5"/>
        <v>225600</v>
      </c>
      <c r="BW76" s="5">
        <v>26</v>
      </c>
      <c r="BX76" s="5">
        <v>32</v>
      </c>
      <c r="BY76" s="5">
        <v>5.6</v>
      </c>
      <c r="BZ76" s="48">
        <v>6.861861422199599</v>
      </c>
      <c r="CA76" s="48">
        <v>7.503547628654422</v>
      </c>
      <c r="CB76" s="48">
        <v>7.5545425438153089</v>
      </c>
      <c r="CD76" s="5">
        <v>24</v>
      </c>
      <c r="CF76" s="5">
        <f t="shared" si="6"/>
        <v>225600</v>
      </c>
      <c r="CG76" s="5">
        <v>29</v>
      </c>
      <c r="CH76" s="5">
        <v>29</v>
      </c>
      <c r="CI76" s="5">
        <v>6.1</v>
      </c>
      <c r="CJ76" s="48">
        <v>5.8838655494685153</v>
      </c>
      <c r="CK76" s="48">
        <v>7.5634504428735161</v>
      </c>
      <c r="CL76" s="48">
        <v>7.4103004840191904</v>
      </c>
      <c r="CN76" s="5">
        <v>16</v>
      </c>
      <c r="CP76" s="5">
        <f t="shared" si="7"/>
        <v>222780</v>
      </c>
      <c r="CQ76" s="5">
        <v>26</v>
      </c>
      <c r="CR76" s="5">
        <v>30</v>
      </c>
      <c r="CS76" s="5">
        <v>6</v>
      </c>
      <c r="CT76" s="48">
        <v>6.9729555119080135</v>
      </c>
      <c r="CU76" s="48">
        <v>7.4630149216858408</v>
      </c>
      <c r="CV76" s="48">
        <v>7.7462295299910435</v>
      </c>
      <c r="CX76" s="5">
        <v>16</v>
      </c>
    </row>
    <row r="77" spans="1:102" x14ac:dyDescent="0.25">
      <c r="A77" s="5">
        <v>25</v>
      </c>
      <c r="B77" s="46">
        <v>45413</v>
      </c>
      <c r="C77" s="5">
        <v>252000</v>
      </c>
      <c r="D77" s="5">
        <v>26</v>
      </c>
      <c r="E77" s="5">
        <v>31</v>
      </c>
      <c r="F77" s="5">
        <v>6.1</v>
      </c>
      <c r="G77" s="5">
        <v>6.2</v>
      </c>
      <c r="H77" s="5">
        <v>7.3</v>
      </c>
      <c r="I77" s="5">
        <v>7.1</v>
      </c>
      <c r="K77" s="5">
        <v>20</v>
      </c>
      <c r="M77" s="5">
        <f t="shared" si="0"/>
        <v>225600</v>
      </c>
      <c r="N77" s="5">
        <v>27</v>
      </c>
      <c r="O77" s="5">
        <v>30</v>
      </c>
      <c r="P77" s="5">
        <v>5.8</v>
      </c>
      <c r="Q77" s="5">
        <v>6.8</v>
      </c>
      <c r="R77" s="5">
        <v>7.2</v>
      </c>
      <c r="S77" s="48">
        <v>7.7539042412750083</v>
      </c>
      <c r="U77" s="5">
        <v>18</v>
      </c>
      <c r="W77" s="5">
        <f t="shared" si="1"/>
        <v>222780</v>
      </c>
      <c r="X77" s="5">
        <v>28</v>
      </c>
      <c r="Y77" s="5">
        <v>29</v>
      </c>
      <c r="Z77" s="5">
        <v>6.6</v>
      </c>
      <c r="AA77" s="48">
        <v>5.9513694458727739</v>
      </c>
      <c r="AB77" s="48">
        <v>7.6804868086399551</v>
      </c>
      <c r="AC77" s="48">
        <v>7.6084814822080382</v>
      </c>
      <c r="AE77" s="5">
        <v>17</v>
      </c>
      <c r="AG77" s="5">
        <f t="shared" si="2"/>
        <v>225600</v>
      </c>
      <c r="AH77" s="5">
        <v>27</v>
      </c>
      <c r="AI77" s="5">
        <v>29</v>
      </c>
      <c r="AJ77" s="5">
        <v>6.3</v>
      </c>
      <c r="AK77" s="48">
        <v>6.0306183755834804</v>
      </c>
      <c r="AL77" s="48">
        <v>7.1804304310760019</v>
      </c>
      <c r="AM77" s="48">
        <v>7.1432067972047264</v>
      </c>
      <c r="AO77" s="5">
        <v>25</v>
      </c>
      <c r="AQ77" s="5">
        <f t="shared" si="3"/>
        <v>225600</v>
      </c>
      <c r="AR77" s="5">
        <v>28</v>
      </c>
      <c r="AS77" s="5">
        <v>30</v>
      </c>
      <c r="AT77" s="5">
        <v>6.1</v>
      </c>
      <c r="AU77" s="48">
        <v>6.0635983451023368</v>
      </c>
      <c r="AV77" s="48">
        <v>7.6329106990229132</v>
      </c>
      <c r="AW77" s="48">
        <v>7.1788397590966886</v>
      </c>
      <c r="AY77" s="5">
        <v>19</v>
      </c>
      <c r="AZ77" s="5">
        <v>25</v>
      </c>
      <c r="BA77" s="46">
        <v>45413</v>
      </c>
      <c r="BB77" s="5">
        <v>252000</v>
      </c>
      <c r="BC77" s="5">
        <v>26</v>
      </c>
      <c r="BD77" s="5">
        <v>29</v>
      </c>
      <c r="BE77" s="5">
        <v>5.9</v>
      </c>
      <c r="BF77" s="48">
        <v>5.8081078935043839</v>
      </c>
      <c r="BG77" s="48">
        <v>7.674315991981957</v>
      </c>
      <c r="BH77" s="48">
        <v>7.5356590740257197</v>
      </c>
      <c r="BJ77" s="5">
        <v>25</v>
      </c>
      <c r="BL77" s="5">
        <f t="shared" si="4"/>
        <v>222780</v>
      </c>
      <c r="BM77" s="5">
        <v>26</v>
      </c>
      <c r="BN77" s="5">
        <v>31</v>
      </c>
      <c r="BO77" s="5">
        <v>7.1</v>
      </c>
      <c r="BP77" s="48">
        <v>6.6132487642693274</v>
      </c>
      <c r="BQ77" s="73">
        <v>7.4868306501069029</v>
      </c>
      <c r="BR77" s="48">
        <v>7.4299675313174092</v>
      </c>
      <c r="BT77" s="5">
        <v>17</v>
      </c>
      <c r="BV77" s="5">
        <f t="shared" si="5"/>
        <v>225600</v>
      </c>
      <c r="BW77" s="5">
        <v>29</v>
      </c>
      <c r="BX77" s="5">
        <v>32</v>
      </c>
      <c r="BY77" s="5">
        <v>6.6</v>
      </c>
      <c r="BZ77" s="48">
        <v>5.9361424371712541</v>
      </c>
      <c r="CA77" s="48">
        <v>7.1402207073341675</v>
      </c>
      <c r="CB77" s="48">
        <v>7.562215095573257</v>
      </c>
      <c r="CD77" s="5">
        <v>21</v>
      </c>
      <c r="CF77" s="5">
        <f t="shared" si="6"/>
        <v>225600</v>
      </c>
      <c r="CG77" s="5">
        <v>26</v>
      </c>
      <c r="CH77" s="5">
        <v>31</v>
      </c>
      <c r="CI77" s="5">
        <v>5.6</v>
      </c>
      <c r="CJ77" s="48">
        <v>6.0846008763731465</v>
      </c>
      <c r="CK77" s="48">
        <v>7.2930269065400353</v>
      </c>
      <c r="CL77" s="48">
        <v>7.6296909314684331</v>
      </c>
      <c r="CN77" s="5">
        <v>19</v>
      </c>
      <c r="CP77" s="5">
        <f t="shared" si="7"/>
        <v>222780</v>
      </c>
      <c r="CQ77" s="5">
        <v>27</v>
      </c>
      <c r="CR77" s="5">
        <v>29</v>
      </c>
      <c r="CS77" s="5">
        <v>5.7</v>
      </c>
      <c r="CT77" s="48">
        <v>6.5072680536884882</v>
      </c>
      <c r="CU77" s="48">
        <v>7.6934566389722567</v>
      </c>
      <c r="CV77" s="48">
        <v>7.293213841375513</v>
      </c>
      <c r="CX77" s="5">
        <v>23</v>
      </c>
    </row>
    <row r="78" spans="1:102" x14ac:dyDescent="0.25">
      <c r="A78" s="5">
        <v>26</v>
      </c>
      <c r="B78" s="46">
        <v>45414</v>
      </c>
      <c r="C78" s="5">
        <v>252000</v>
      </c>
      <c r="D78" s="5">
        <v>28</v>
      </c>
      <c r="E78" s="5">
        <v>30</v>
      </c>
      <c r="F78" s="5">
        <v>6.7</v>
      </c>
      <c r="G78" s="5">
        <v>6.1</v>
      </c>
      <c r="H78" s="5">
        <v>7.3</v>
      </c>
      <c r="I78" s="5">
        <v>7.2</v>
      </c>
      <c r="K78" s="5">
        <v>25</v>
      </c>
      <c r="M78" s="5">
        <f t="shared" si="0"/>
        <v>225600</v>
      </c>
      <c r="N78" s="5">
        <v>26</v>
      </c>
      <c r="O78" s="5">
        <v>32</v>
      </c>
      <c r="P78" s="5">
        <v>6.6</v>
      </c>
      <c r="Q78" s="5">
        <v>5.6</v>
      </c>
      <c r="R78" s="5">
        <v>7.3</v>
      </c>
      <c r="S78" s="48">
        <v>7.3845621784249689</v>
      </c>
      <c r="U78" s="5">
        <v>21</v>
      </c>
      <c r="W78" s="5">
        <f t="shared" si="1"/>
        <v>222780</v>
      </c>
      <c r="X78" s="5">
        <v>26</v>
      </c>
      <c r="Y78" s="5">
        <v>29</v>
      </c>
      <c r="Z78" s="5">
        <v>6.6</v>
      </c>
      <c r="AA78" s="48">
        <v>6.3576784878163366</v>
      </c>
      <c r="AB78" s="48">
        <v>7.1127820101100854</v>
      </c>
      <c r="AC78" s="48">
        <v>7.677813868954356</v>
      </c>
      <c r="AE78" s="5">
        <v>24</v>
      </c>
      <c r="AG78" s="5">
        <f t="shared" si="2"/>
        <v>225600</v>
      </c>
      <c r="AH78" s="5">
        <v>27</v>
      </c>
      <c r="AI78" s="5">
        <v>30</v>
      </c>
      <c r="AJ78" s="5">
        <v>7</v>
      </c>
      <c r="AK78" s="48">
        <v>5.6263030982617215</v>
      </c>
      <c r="AL78" s="48">
        <v>7.2633303984269739</v>
      </c>
      <c r="AM78" s="48">
        <v>7.1418941550027499</v>
      </c>
      <c r="AO78" s="5">
        <v>24</v>
      </c>
      <c r="AQ78" s="5">
        <f t="shared" si="3"/>
        <v>225600</v>
      </c>
      <c r="AR78" s="5">
        <v>27</v>
      </c>
      <c r="AS78" s="5">
        <v>32</v>
      </c>
      <c r="AT78" s="5">
        <v>6.5</v>
      </c>
      <c r="AU78" s="48">
        <v>6.0078371017896668</v>
      </c>
      <c r="AV78" s="48">
        <v>7.271036813208247</v>
      </c>
      <c r="AW78" s="48">
        <v>7.7492049421568092</v>
      </c>
      <c r="AY78" s="5">
        <v>16</v>
      </c>
      <c r="AZ78" s="5">
        <v>26</v>
      </c>
      <c r="BA78" s="46">
        <v>45414</v>
      </c>
      <c r="BB78" s="5">
        <v>252000</v>
      </c>
      <c r="BC78" s="5">
        <v>28</v>
      </c>
      <c r="BD78" s="5">
        <v>31</v>
      </c>
      <c r="BE78" s="5">
        <v>5.9</v>
      </c>
      <c r="BF78" s="48">
        <v>5.9885948836387701</v>
      </c>
      <c r="BG78" s="48">
        <v>7.59279798851375</v>
      </c>
      <c r="BH78" s="48">
        <v>7.1281176634032519</v>
      </c>
      <c r="BJ78" s="5">
        <v>15</v>
      </c>
      <c r="BL78" s="5">
        <f t="shared" si="4"/>
        <v>222780</v>
      </c>
      <c r="BM78" s="5">
        <v>29</v>
      </c>
      <c r="BN78" s="5">
        <v>31</v>
      </c>
      <c r="BO78" s="5">
        <v>6</v>
      </c>
      <c r="BP78" s="48">
        <v>6.5702250451423669</v>
      </c>
      <c r="BQ78" s="73">
        <v>7.3901273997489092</v>
      </c>
      <c r="BR78" s="48">
        <v>7.2308727970720383</v>
      </c>
      <c r="BT78" s="5">
        <v>25</v>
      </c>
      <c r="BV78" s="5">
        <f t="shared" si="5"/>
        <v>225600</v>
      </c>
      <c r="BW78" s="5">
        <v>29</v>
      </c>
      <c r="BX78" s="5">
        <v>29</v>
      </c>
      <c r="BY78" s="5">
        <v>5.7</v>
      </c>
      <c r="BZ78" s="48">
        <v>7.1038708459946065</v>
      </c>
      <c r="CA78" s="48">
        <v>7.4082689542195439</v>
      </c>
      <c r="CB78" s="48">
        <v>7.3282587142792384</v>
      </c>
      <c r="CD78" s="5">
        <v>16</v>
      </c>
      <c r="CF78" s="5">
        <f t="shared" si="6"/>
        <v>225600</v>
      </c>
      <c r="CG78" s="5">
        <v>27</v>
      </c>
      <c r="CH78" s="5">
        <v>29</v>
      </c>
      <c r="CI78" s="5">
        <v>6.3</v>
      </c>
      <c r="CJ78" s="48">
        <v>7.0549470441476183</v>
      </c>
      <c r="CK78" s="48">
        <v>7.3800922674413725</v>
      </c>
      <c r="CL78" s="48">
        <v>7.7277541864404267</v>
      </c>
      <c r="CN78" s="5">
        <v>21</v>
      </c>
      <c r="CP78" s="5">
        <f t="shared" si="7"/>
        <v>222780</v>
      </c>
      <c r="CQ78" s="5">
        <v>26</v>
      </c>
      <c r="CR78" s="5">
        <v>31</v>
      </c>
      <c r="CS78" s="5">
        <v>5.6</v>
      </c>
      <c r="CT78" s="48">
        <v>6.4837011566998104</v>
      </c>
      <c r="CU78" s="48">
        <v>7.5177501899120758</v>
      </c>
      <c r="CV78" s="48">
        <v>7.3339281191702872</v>
      </c>
      <c r="CX78" s="5">
        <v>22</v>
      </c>
    </row>
    <row r="79" spans="1:102" x14ac:dyDescent="0.25">
      <c r="A79" s="5">
        <v>27</v>
      </c>
      <c r="B79" s="46">
        <v>45415</v>
      </c>
      <c r="C79" s="5">
        <v>252000</v>
      </c>
      <c r="D79" s="5">
        <v>28</v>
      </c>
      <c r="E79" s="5">
        <v>29</v>
      </c>
      <c r="F79" s="5">
        <v>6.1</v>
      </c>
      <c r="G79" s="5">
        <v>6.5</v>
      </c>
      <c r="H79" s="5">
        <v>7.4</v>
      </c>
      <c r="I79" s="5">
        <v>7.3</v>
      </c>
      <c r="K79" s="5">
        <v>22</v>
      </c>
      <c r="M79" s="5">
        <f t="shared" si="0"/>
        <v>225600</v>
      </c>
      <c r="N79" s="5">
        <v>28</v>
      </c>
      <c r="O79" s="5">
        <v>30</v>
      </c>
      <c r="P79" s="5">
        <v>6.2</v>
      </c>
      <c r="Q79" s="5">
        <v>6.1</v>
      </c>
      <c r="R79" s="5">
        <v>7.2</v>
      </c>
      <c r="S79" s="48">
        <v>7.3703037522163566</v>
      </c>
      <c r="U79" s="5">
        <v>23</v>
      </c>
      <c r="W79" s="5">
        <f t="shared" si="1"/>
        <v>222780</v>
      </c>
      <c r="X79" s="5">
        <v>26</v>
      </c>
      <c r="Y79" s="5">
        <v>29</v>
      </c>
      <c r="Z79" s="5">
        <v>5.5</v>
      </c>
      <c r="AA79" s="48">
        <v>7.1980851362563927</v>
      </c>
      <c r="AB79" s="48">
        <v>7.1706256838635261</v>
      </c>
      <c r="AC79" s="48">
        <v>7.6887822185386101</v>
      </c>
      <c r="AE79" s="5">
        <v>15</v>
      </c>
      <c r="AG79" s="5">
        <f t="shared" si="2"/>
        <v>225600</v>
      </c>
      <c r="AH79" s="5">
        <v>29</v>
      </c>
      <c r="AI79" s="5">
        <v>29</v>
      </c>
      <c r="AJ79" s="5">
        <v>6.6</v>
      </c>
      <c r="AK79" s="48">
        <v>6.6086126144997985</v>
      </c>
      <c r="AL79" s="48">
        <v>7.4613192542146534</v>
      </c>
      <c r="AM79" s="48">
        <v>7.7679752241666327</v>
      </c>
      <c r="AO79" s="5">
        <v>24</v>
      </c>
      <c r="AQ79" s="5">
        <f t="shared" si="3"/>
        <v>225600</v>
      </c>
      <c r="AR79" s="5">
        <v>28</v>
      </c>
      <c r="AS79" s="5">
        <v>31</v>
      </c>
      <c r="AT79" s="5">
        <v>6.2</v>
      </c>
      <c r="AU79" s="48">
        <v>5.6742336560878837</v>
      </c>
      <c r="AV79" s="48">
        <v>7.2497043564364665</v>
      </c>
      <c r="AW79" s="48">
        <v>7.5023256691361695</v>
      </c>
      <c r="AY79" s="5">
        <v>22</v>
      </c>
      <c r="AZ79" s="5">
        <v>27</v>
      </c>
      <c r="BA79" s="46">
        <v>45415</v>
      </c>
      <c r="BB79" s="5">
        <v>252000</v>
      </c>
      <c r="BC79" s="5">
        <v>28</v>
      </c>
      <c r="BD79" s="5">
        <v>30</v>
      </c>
      <c r="BE79" s="5">
        <v>5.9</v>
      </c>
      <c r="BF79" s="48">
        <v>6.3629827143447812</v>
      </c>
      <c r="BG79" s="48">
        <v>7.3628574527805526</v>
      </c>
      <c r="BH79" s="48">
        <v>7.7739040804919526</v>
      </c>
      <c r="BJ79" s="5">
        <v>16</v>
      </c>
      <c r="BL79" s="5">
        <f t="shared" si="4"/>
        <v>222780</v>
      </c>
      <c r="BM79" s="5">
        <v>28</v>
      </c>
      <c r="BN79" s="5">
        <v>30</v>
      </c>
      <c r="BO79" s="5">
        <v>6.6</v>
      </c>
      <c r="BP79" s="48">
        <v>6.4108636095344087</v>
      </c>
      <c r="BQ79" s="74">
        <v>7.2234121122788686</v>
      </c>
      <c r="BR79" s="48">
        <v>7.5414189199683932</v>
      </c>
      <c r="BT79" s="5">
        <v>25</v>
      </c>
      <c r="BV79" s="5">
        <f t="shared" si="5"/>
        <v>225600</v>
      </c>
      <c r="BW79" s="5">
        <v>29</v>
      </c>
      <c r="BX79" s="5">
        <v>32</v>
      </c>
      <c r="BY79" s="5">
        <v>6.9</v>
      </c>
      <c r="BZ79" s="48">
        <v>6.8949267085097921</v>
      </c>
      <c r="CA79" s="48">
        <v>7.3657027543958637</v>
      </c>
      <c r="CB79" s="48">
        <v>7.144550246401363</v>
      </c>
      <c r="CD79" s="5">
        <v>21</v>
      </c>
      <c r="CF79" s="5">
        <f t="shared" si="6"/>
        <v>225600</v>
      </c>
      <c r="CG79" s="5">
        <v>29</v>
      </c>
      <c r="CH79" s="5">
        <v>32</v>
      </c>
      <c r="CI79" s="5">
        <v>5.6</v>
      </c>
      <c r="CJ79" s="48">
        <v>6.7202563517806766</v>
      </c>
      <c r="CK79" s="48">
        <v>7.4263028689729929</v>
      </c>
      <c r="CL79" s="48">
        <v>7.4233829745022835</v>
      </c>
      <c r="CN79" s="5">
        <v>21</v>
      </c>
      <c r="CP79" s="5">
        <f t="shared" si="7"/>
        <v>222780</v>
      </c>
      <c r="CQ79" s="5">
        <v>28</v>
      </c>
      <c r="CR79" s="5">
        <v>29</v>
      </c>
      <c r="CS79" s="5">
        <v>6.4</v>
      </c>
      <c r="CT79" s="48">
        <v>5.5621079467350389</v>
      </c>
      <c r="CU79" s="48">
        <v>7.3495430501590997</v>
      </c>
      <c r="CV79" s="48">
        <v>7.152495316623158</v>
      </c>
      <c r="CX79" s="5">
        <v>18</v>
      </c>
    </row>
    <row r="80" spans="1:102" x14ac:dyDescent="0.25">
      <c r="A80" s="5">
        <v>28</v>
      </c>
      <c r="B80" s="46">
        <v>45416</v>
      </c>
      <c r="C80" s="5">
        <v>252000</v>
      </c>
      <c r="D80" s="5">
        <v>27</v>
      </c>
      <c r="E80" s="5">
        <v>31</v>
      </c>
      <c r="F80" s="5">
        <v>5.7</v>
      </c>
      <c r="G80" s="5">
        <v>5.8</v>
      </c>
      <c r="H80" s="5">
        <v>7.4</v>
      </c>
      <c r="I80" s="5">
        <v>7.5</v>
      </c>
      <c r="K80" s="5">
        <v>20</v>
      </c>
      <c r="M80" s="5">
        <f t="shared" si="0"/>
        <v>225600</v>
      </c>
      <c r="N80" s="5">
        <v>27</v>
      </c>
      <c r="O80" s="5">
        <v>32</v>
      </c>
      <c r="P80" s="5">
        <v>6.1</v>
      </c>
      <c r="Q80" s="5">
        <v>7</v>
      </c>
      <c r="R80" s="5">
        <v>7.5</v>
      </c>
      <c r="S80" s="48">
        <v>7.4202662517464599</v>
      </c>
      <c r="U80" s="5">
        <v>16</v>
      </c>
      <c r="W80" s="5">
        <f t="shared" si="1"/>
        <v>222780</v>
      </c>
      <c r="X80" s="5">
        <v>27</v>
      </c>
      <c r="Y80" s="5">
        <v>29</v>
      </c>
      <c r="Z80" s="5">
        <v>5.7</v>
      </c>
      <c r="AA80" s="48">
        <v>5.9514097900630798</v>
      </c>
      <c r="AB80" s="48">
        <v>7.6256121916570745</v>
      </c>
      <c r="AC80" s="48">
        <v>7.5910622161560735</v>
      </c>
      <c r="AE80" s="5">
        <v>24</v>
      </c>
      <c r="AG80" s="5">
        <f t="shared" si="2"/>
        <v>225600</v>
      </c>
      <c r="AH80" s="5">
        <v>28</v>
      </c>
      <c r="AI80" s="5">
        <v>32</v>
      </c>
      <c r="AJ80" s="5">
        <v>5.9</v>
      </c>
      <c r="AK80" s="48">
        <v>6.6133601472503578</v>
      </c>
      <c r="AL80" s="48">
        <v>7.6218787747015364</v>
      </c>
      <c r="AM80" s="48">
        <v>7.1315326738808658</v>
      </c>
      <c r="AO80" s="5">
        <v>16</v>
      </c>
      <c r="AQ80" s="5">
        <f t="shared" si="3"/>
        <v>225600</v>
      </c>
      <c r="AR80" s="5">
        <v>26</v>
      </c>
      <c r="AS80" s="5">
        <v>31</v>
      </c>
      <c r="AT80" s="5">
        <v>6.5</v>
      </c>
      <c r="AU80" s="48">
        <v>6.7571100564612792</v>
      </c>
      <c r="AV80" s="48">
        <v>7.1219891192435245</v>
      </c>
      <c r="AW80" s="48">
        <v>7.119432486247975</v>
      </c>
      <c r="AY80" s="5">
        <v>21</v>
      </c>
      <c r="AZ80" s="5">
        <v>28</v>
      </c>
      <c r="BA80" s="46">
        <v>45416</v>
      </c>
      <c r="BB80" s="5">
        <v>252000</v>
      </c>
      <c r="BC80" s="5">
        <v>29</v>
      </c>
      <c r="BD80" s="5">
        <v>30</v>
      </c>
      <c r="BE80" s="5">
        <v>6.8</v>
      </c>
      <c r="BF80" s="48">
        <v>6.9042845155076744</v>
      </c>
      <c r="BG80" s="48">
        <v>7.7742805171220315</v>
      </c>
      <c r="BH80" s="48">
        <v>7.6588333124384018</v>
      </c>
      <c r="BJ80" s="5">
        <v>15</v>
      </c>
      <c r="BL80" s="5">
        <f t="shared" si="4"/>
        <v>222780</v>
      </c>
      <c r="BM80" s="5">
        <v>27</v>
      </c>
      <c r="BN80" s="5">
        <v>29</v>
      </c>
      <c r="BO80" s="5">
        <v>6.6</v>
      </c>
      <c r="BP80" s="48">
        <v>6.2443523043349884</v>
      </c>
      <c r="BQ80" s="74">
        <v>7.7947622481271015</v>
      </c>
      <c r="BR80" s="48">
        <v>7.1721773978772152</v>
      </c>
      <c r="BT80" s="5">
        <v>19</v>
      </c>
      <c r="BV80" s="5">
        <f t="shared" si="5"/>
        <v>225600</v>
      </c>
      <c r="BW80" s="5">
        <v>27</v>
      </c>
      <c r="BX80" s="5">
        <v>32</v>
      </c>
      <c r="BY80" s="5">
        <v>5.6</v>
      </c>
      <c r="BZ80" s="48">
        <v>5.7166060250629975</v>
      </c>
      <c r="CA80" s="48">
        <v>7.7834137390712588</v>
      </c>
      <c r="CB80" s="48">
        <v>7.6135966257302794</v>
      </c>
      <c r="CD80" s="5">
        <v>19</v>
      </c>
      <c r="CF80" s="5">
        <f t="shared" si="6"/>
        <v>225600</v>
      </c>
      <c r="CG80" s="5">
        <v>29</v>
      </c>
      <c r="CH80" s="5">
        <v>31</v>
      </c>
      <c r="CI80" s="5">
        <v>6.6</v>
      </c>
      <c r="CJ80" s="48">
        <v>6.3835002001774628</v>
      </c>
      <c r="CK80" s="48">
        <v>7.2165945672897713</v>
      </c>
      <c r="CL80" s="48">
        <v>7.452891064727754</v>
      </c>
      <c r="CN80" s="5">
        <v>22</v>
      </c>
      <c r="CP80" s="5">
        <f t="shared" si="7"/>
        <v>222780</v>
      </c>
      <c r="CQ80" s="5">
        <v>26</v>
      </c>
      <c r="CR80" s="5">
        <v>30</v>
      </c>
      <c r="CS80" s="5">
        <v>5.9</v>
      </c>
      <c r="CT80" s="48">
        <v>7.0274191664890573</v>
      </c>
      <c r="CU80" s="48">
        <v>7.472828699696259</v>
      </c>
      <c r="CV80" s="48">
        <v>7.3198557671148947</v>
      </c>
      <c r="CX80" s="5">
        <v>19</v>
      </c>
    </row>
    <row r="81" spans="1:102" x14ac:dyDescent="0.25">
      <c r="A81" s="5">
        <v>29</v>
      </c>
      <c r="B81" s="46">
        <v>45417</v>
      </c>
      <c r="C81" s="5">
        <v>252000</v>
      </c>
      <c r="D81" s="5">
        <v>28</v>
      </c>
      <c r="E81" s="5">
        <v>29</v>
      </c>
      <c r="F81" s="5">
        <v>6.9</v>
      </c>
      <c r="G81" s="5">
        <v>6.6</v>
      </c>
      <c r="H81" s="5">
        <v>7.3</v>
      </c>
      <c r="I81" s="5">
        <v>7.5</v>
      </c>
      <c r="J81" s="5">
        <v>0.04</v>
      </c>
      <c r="K81" s="5">
        <v>19</v>
      </c>
      <c r="M81" s="5">
        <f t="shared" si="0"/>
        <v>225600</v>
      </c>
      <c r="N81" s="5">
        <v>26</v>
      </c>
      <c r="O81" s="5">
        <v>32</v>
      </c>
      <c r="P81" s="5">
        <v>5.5</v>
      </c>
      <c r="Q81" s="5">
        <v>5.5</v>
      </c>
      <c r="R81" s="5">
        <v>7.3</v>
      </c>
      <c r="S81" s="48">
        <v>7.3526715368605275</v>
      </c>
      <c r="T81" s="5">
        <v>0.04</v>
      </c>
      <c r="U81" s="5">
        <v>24</v>
      </c>
      <c r="W81" s="5">
        <f t="shared" si="1"/>
        <v>222780</v>
      </c>
      <c r="X81" s="5">
        <v>29</v>
      </c>
      <c r="Y81" s="5">
        <v>29</v>
      </c>
      <c r="Z81" s="5">
        <v>7</v>
      </c>
      <c r="AA81" s="48">
        <v>5.8350578304755896</v>
      </c>
      <c r="AB81" s="48">
        <v>7.3417911741840198</v>
      </c>
      <c r="AC81" s="48">
        <v>7.6058369845020151</v>
      </c>
      <c r="AD81" s="5">
        <v>7.0000000000000007E-2</v>
      </c>
      <c r="AE81" s="5">
        <v>25</v>
      </c>
      <c r="AG81" s="5">
        <f t="shared" si="2"/>
        <v>225600</v>
      </c>
      <c r="AH81" s="5">
        <v>26</v>
      </c>
      <c r="AI81" s="5">
        <v>32</v>
      </c>
      <c r="AJ81" s="5">
        <v>5.8</v>
      </c>
      <c r="AK81" s="48">
        <v>5.7258957004219475</v>
      </c>
      <c r="AL81" s="48">
        <v>7.5036653339724593</v>
      </c>
      <c r="AM81" s="48">
        <v>7.6558335916141322</v>
      </c>
      <c r="AN81" s="5">
        <v>0.03</v>
      </c>
      <c r="AO81" s="5">
        <v>20</v>
      </c>
      <c r="AQ81" s="5">
        <f t="shared" si="3"/>
        <v>225600</v>
      </c>
      <c r="AR81" s="5">
        <v>27</v>
      </c>
      <c r="AS81" s="5">
        <v>31</v>
      </c>
      <c r="AT81" s="5">
        <v>5.5</v>
      </c>
      <c r="AU81" s="48">
        <v>5.7673085904537906</v>
      </c>
      <c r="AV81" s="48">
        <v>7.5971812546995867</v>
      </c>
      <c r="AW81" s="48">
        <v>7.3458264273817813</v>
      </c>
      <c r="AX81" s="5">
        <v>7.0000000000000007E-2</v>
      </c>
      <c r="AY81" s="5">
        <v>22</v>
      </c>
      <c r="AZ81" s="5">
        <v>29</v>
      </c>
      <c r="BA81" s="46">
        <v>45417</v>
      </c>
      <c r="BB81" s="5">
        <v>252000</v>
      </c>
      <c r="BC81" s="5">
        <v>29</v>
      </c>
      <c r="BD81" s="5">
        <v>31</v>
      </c>
      <c r="BE81" s="5">
        <v>6.1</v>
      </c>
      <c r="BF81" s="48">
        <v>6.4542414451869092</v>
      </c>
      <c r="BG81" s="48">
        <v>7.636358684497405</v>
      </c>
      <c r="BH81" s="48">
        <v>7.3721932814506426</v>
      </c>
      <c r="BI81" s="5">
        <v>7.0000000000000007E-2</v>
      </c>
      <c r="BJ81" s="5">
        <v>24</v>
      </c>
      <c r="BL81" s="5">
        <f t="shared" si="4"/>
        <v>222780</v>
      </c>
      <c r="BM81" s="5">
        <v>29</v>
      </c>
      <c r="BN81" s="5">
        <v>30</v>
      </c>
      <c r="BO81" s="5">
        <v>6.4</v>
      </c>
      <c r="BP81" s="48">
        <v>5.7655789024837141</v>
      </c>
      <c r="BQ81" s="74">
        <v>7.5525337035985656</v>
      </c>
      <c r="BR81" s="48">
        <v>7.6552792325920471</v>
      </c>
      <c r="BS81" s="5">
        <v>0.06</v>
      </c>
      <c r="BT81" s="5">
        <v>15</v>
      </c>
      <c r="BV81" s="5">
        <f t="shared" si="5"/>
        <v>225600</v>
      </c>
      <c r="BW81" s="5">
        <v>27</v>
      </c>
      <c r="BX81" s="5">
        <v>30</v>
      </c>
      <c r="BY81" s="5">
        <v>5.9</v>
      </c>
      <c r="BZ81" s="48">
        <v>5.8381843368463366</v>
      </c>
      <c r="CA81" s="48">
        <v>7.4389145259447975</v>
      </c>
      <c r="CB81" s="48">
        <v>7.2107238052605638</v>
      </c>
      <c r="CC81" s="5">
        <v>7.0000000000000007E-2</v>
      </c>
      <c r="CD81" s="5">
        <v>22</v>
      </c>
      <c r="CF81" s="5">
        <f t="shared" si="6"/>
        <v>225600</v>
      </c>
      <c r="CG81" s="5">
        <v>27</v>
      </c>
      <c r="CH81" s="5">
        <v>29</v>
      </c>
      <c r="CI81" s="5">
        <v>6</v>
      </c>
      <c r="CJ81" s="48">
        <v>6.313893562145986</v>
      </c>
      <c r="CK81" s="48">
        <v>7.663710118607268</v>
      </c>
      <c r="CL81" s="48">
        <v>7.2195840614898188</v>
      </c>
      <c r="CM81" s="5">
        <v>0.04</v>
      </c>
      <c r="CN81" s="5">
        <v>21</v>
      </c>
      <c r="CP81" s="5">
        <f t="shared" si="7"/>
        <v>222780</v>
      </c>
      <c r="CQ81" s="5">
        <v>27</v>
      </c>
      <c r="CR81" s="5">
        <v>31</v>
      </c>
      <c r="CS81" s="5">
        <v>5.6</v>
      </c>
      <c r="CT81" s="48">
        <v>6.2720085096958726</v>
      </c>
      <c r="CU81" s="48">
        <v>7.1395172530928663</v>
      </c>
      <c r="CV81" s="48">
        <v>7.4533479079842824</v>
      </c>
      <c r="CW81" s="5">
        <v>0.04</v>
      </c>
      <c r="CX81" s="5">
        <v>25</v>
      </c>
    </row>
    <row r="82" spans="1:102" x14ac:dyDescent="0.25">
      <c r="A82" s="5">
        <v>30</v>
      </c>
      <c r="B82" s="46">
        <v>45418</v>
      </c>
      <c r="C82" s="5">
        <v>252000</v>
      </c>
      <c r="D82" s="5">
        <v>26</v>
      </c>
      <c r="E82" s="5">
        <v>31</v>
      </c>
      <c r="F82" s="5">
        <v>6.7</v>
      </c>
      <c r="G82" s="5">
        <v>5.9</v>
      </c>
      <c r="H82" s="5">
        <v>7.2</v>
      </c>
      <c r="I82" s="5">
        <v>7.4</v>
      </c>
      <c r="K82" s="5">
        <v>24</v>
      </c>
      <c r="M82" s="5">
        <f t="shared" si="0"/>
        <v>225600</v>
      </c>
      <c r="N82" s="5">
        <v>27</v>
      </c>
      <c r="O82" s="5">
        <v>30</v>
      </c>
      <c r="P82" s="5">
        <v>6.6</v>
      </c>
      <c r="Q82" s="5">
        <v>6.3</v>
      </c>
      <c r="R82" s="5">
        <v>7.1</v>
      </c>
      <c r="S82" s="48">
        <v>7.3031013322713285</v>
      </c>
      <c r="U82" s="5">
        <v>24</v>
      </c>
      <c r="W82" s="5">
        <f t="shared" si="1"/>
        <v>222780</v>
      </c>
      <c r="X82" s="5">
        <v>27</v>
      </c>
      <c r="Y82" s="5">
        <v>31</v>
      </c>
      <c r="Z82" s="5">
        <v>6.8</v>
      </c>
      <c r="AA82" s="48">
        <v>7.151192199426216</v>
      </c>
      <c r="AB82" s="48">
        <v>7.2172720137646866</v>
      </c>
      <c r="AC82" s="48">
        <v>7.6076849943816756</v>
      </c>
      <c r="AE82" s="5">
        <v>16</v>
      </c>
      <c r="AG82" s="5">
        <f t="shared" si="2"/>
        <v>225600</v>
      </c>
      <c r="AH82" s="5">
        <v>27</v>
      </c>
      <c r="AI82" s="5">
        <v>30</v>
      </c>
      <c r="AJ82" s="5">
        <v>5.7</v>
      </c>
      <c r="AK82" s="48">
        <v>7.1388541965321268</v>
      </c>
      <c r="AL82" s="48">
        <v>7.2348857361530552</v>
      </c>
      <c r="AM82" s="48">
        <v>7.3022578233217379</v>
      </c>
      <c r="AO82" s="5">
        <v>25</v>
      </c>
      <c r="AQ82" s="5">
        <f t="shared" si="3"/>
        <v>225600</v>
      </c>
      <c r="AR82" s="5">
        <v>29</v>
      </c>
      <c r="AS82" s="5">
        <v>31</v>
      </c>
      <c r="AT82" s="5">
        <v>5.5</v>
      </c>
      <c r="AU82" s="48">
        <v>6.6820151163787083</v>
      </c>
      <c r="AV82" s="48">
        <v>7.1435250647751483</v>
      </c>
      <c r="AW82" s="48">
        <v>7.1197112215553329</v>
      </c>
      <c r="AY82" s="5">
        <v>17</v>
      </c>
      <c r="AZ82" s="5">
        <v>30</v>
      </c>
      <c r="BA82" s="46">
        <v>45418</v>
      </c>
      <c r="BB82" s="5">
        <v>252000</v>
      </c>
      <c r="BC82" s="5">
        <v>28</v>
      </c>
      <c r="BD82" s="5">
        <v>29</v>
      </c>
      <c r="BE82" s="5">
        <v>6.4</v>
      </c>
      <c r="BF82" s="48">
        <v>6.9128939098515723</v>
      </c>
      <c r="BG82" s="48">
        <v>7.6641367249600352</v>
      </c>
      <c r="BH82" s="48">
        <v>7.6765104005203657</v>
      </c>
      <c r="BJ82" s="5">
        <v>25</v>
      </c>
      <c r="BL82" s="5">
        <f t="shared" si="4"/>
        <v>222780</v>
      </c>
      <c r="BM82" s="5">
        <v>28</v>
      </c>
      <c r="BN82" s="5">
        <v>30</v>
      </c>
      <c r="BO82" s="5">
        <v>6.9</v>
      </c>
      <c r="BP82" s="48">
        <v>5.5837925079820723</v>
      </c>
      <c r="BQ82" s="74">
        <v>7.1071699861237079</v>
      </c>
      <c r="BR82" s="48">
        <v>7.1567627093515238</v>
      </c>
      <c r="BT82" s="5">
        <v>17</v>
      </c>
      <c r="BV82" s="5">
        <f t="shared" si="5"/>
        <v>225600</v>
      </c>
      <c r="BW82" s="5">
        <v>27</v>
      </c>
      <c r="BX82" s="5">
        <v>29</v>
      </c>
      <c r="BY82" s="5">
        <v>6.3</v>
      </c>
      <c r="BZ82" s="48">
        <v>5.9278813973638051</v>
      </c>
      <c r="CA82" s="48">
        <v>7.2980619442620931</v>
      </c>
      <c r="CB82" s="48">
        <v>7.422154484028523</v>
      </c>
      <c r="CD82" s="5">
        <v>21</v>
      </c>
      <c r="CF82" s="5">
        <f t="shared" si="6"/>
        <v>225600</v>
      </c>
      <c r="CG82" s="5">
        <v>28</v>
      </c>
      <c r="CH82" s="5">
        <v>30</v>
      </c>
      <c r="CI82" s="5">
        <v>5.8</v>
      </c>
      <c r="CJ82" s="48">
        <v>5.8970693217945849</v>
      </c>
      <c r="CK82" s="48">
        <v>7.4274028306036186</v>
      </c>
      <c r="CL82" s="48">
        <v>7.3164660799702403</v>
      </c>
      <c r="CN82" s="5">
        <v>23</v>
      </c>
      <c r="CP82" s="5">
        <f t="shared" si="7"/>
        <v>222780</v>
      </c>
      <c r="CQ82" s="5">
        <v>29</v>
      </c>
      <c r="CR82" s="5">
        <v>30</v>
      </c>
      <c r="CS82" s="5">
        <v>6.2</v>
      </c>
      <c r="CT82" s="48">
        <v>5.5376696960276313</v>
      </c>
      <c r="CU82" s="48">
        <v>7.7684372352938258</v>
      </c>
      <c r="CV82" s="48">
        <v>7.1708741540661176</v>
      </c>
      <c r="CX82" s="5">
        <v>22</v>
      </c>
    </row>
    <row r="83" spans="1:102" x14ac:dyDescent="0.25">
      <c r="A83" s="5">
        <v>31</v>
      </c>
      <c r="B83" s="46">
        <v>45419</v>
      </c>
      <c r="C83" s="5">
        <v>252000</v>
      </c>
      <c r="D83" s="5">
        <v>29</v>
      </c>
      <c r="E83" s="5">
        <v>30</v>
      </c>
      <c r="F83" s="5">
        <v>6.3</v>
      </c>
      <c r="G83" s="5">
        <v>7</v>
      </c>
      <c r="H83" s="5">
        <v>7.2</v>
      </c>
      <c r="I83" s="5">
        <v>7.4</v>
      </c>
      <c r="K83" s="5">
        <v>20</v>
      </c>
      <c r="M83" s="5">
        <f t="shared" si="0"/>
        <v>225600</v>
      </c>
      <c r="N83" s="5">
        <v>26</v>
      </c>
      <c r="O83" s="5">
        <v>29</v>
      </c>
      <c r="P83" s="5">
        <v>6</v>
      </c>
      <c r="Q83" s="5">
        <v>5.9</v>
      </c>
      <c r="R83" s="5">
        <v>7.1</v>
      </c>
      <c r="S83" s="48">
        <v>7.5185209690289181</v>
      </c>
      <c r="U83" s="5">
        <v>22</v>
      </c>
      <c r="W83" s="5">
        <f t="shared" si="1"/>
        <v>222780</v>
      </c>
      <c r="X83" s="5">
        <v>29</v>
      </c>
      <c r="Y83" s="5">
        <v>31</v>
      </c>
      <c r="Z83" s="5">
        <v>6</v>
      </c>
      <c r="AA83" s="48">
        <v>5.8155614284201498</v>
      </c>
      <c r="AB83" s="48">
        <v>7.5480325829635779</v>
      </c>
      <c r="AC83" s="48">
        <v>7.3347305430894858</v>
      </c>
      <c r="AE83" s="5">
        <v>16</v>
      </c>
      <c r="AG83" s="5">
        <f t="shared" si="2"/>
        <v>225600</v>
      </c>
      <c r="AH83" s="5">
        <v>27</v>
      </c>
      <c r="AI83" s="5">
        <v>30</v>
      </c>
      <c r="AJ83" s="5">
        <v>6.9</v>
      </c>
      <c r="AK83" s="48">
        <v>6.6161468331658622</v>
      </c>
      <c r="AL83" s="48">
        <v>7.308865482382064</v>
      </c>
      <c r="AM83" s="48">
        <v>7.7021151800253271</v>
      </c>
      <c r="AO83" s="5">
        <v>24</v>
      </c>
      <c r="AQ83" s="5">
        <f t="shared" si="3"/>
        <v>225600</v>
      </c>
      <c r="AR83" s="5">
        <v>27</v>
      </c>
      <c r="AS83" s="5">
        <v>32</v>
      </c>
      <c r="AT83" s="5">
        <v>5.6</v>
      </c>
      <c r="AU83" s="48">
        <v>5.9173070604437239</v>
      </c>
      <c r="AV83" s="48">
        <v>7.1831091692540969</v>
      </c>
      <c r="AW83" s="48">
        <v>7.1317045860052284</v>
      </c>
      <c r="AY83" s="5">
        <v>17</v>
      </c>
      <c r="AZ83" s="5">
        <v>31</v>
      </c>
      <c r="BA83" s="46">
        <v>45419</v>
      </c>
      <c r="BB83" s="5">
        <v>252000</v>
      </c>
      <c r="BC83" s="5">
        <v>27</v>
      </c>
      <c r="BD83" s="5">
        <v>32</v>
      </c>
      <c r="BE83" s="5">
        <v>5.7</v>
      </c>
      <c r="BF83" s="48">
        <v>6.6704058814696401</v>
      </c>
      <c r="BG83" s="48">
        <v>7.4441369914072633</v>
      </c>
      <c r="BH83" s="48">
        <v>7.3912029373736416</v>
      </c>
      <c r="BJ83" s="5">
        <v>25</v>
      </c>
      <c r="BL83" s="5">
        <f t="shared" si="4"/>
        <v>222780</v>
      </c>
      <c r="BM83" s="5">
        <v>26</v>
      </c>
      <c r="BN83" s="5">
        <v>30</v>
      </c>
      <c r="BO83" s="5">
        <v>6.8</v>
      </c>
      <c r="BP83" s="48">
        <v>6.0246432333307505</v>
      </c>
      <c r="BQ83" s="74">
        <v>7.1868846455798234</v>
      </c>
      <c r="BR83" s="48">
        <v>7.7719815147609363</v>
      </c>
      <c r="BT83" s="5">
        <v>18</v>
      </c>
      <c r="BV83" s="5">
        <f t="shared" si="5"/>
        <v>225600</v>
      </c>
      <c r="BW83" s="5">
        <v>26</v>
      </c>
      <c r="BX83" s="5">
        <v>29</v>
      </c>
      <c r="BY83" s="5">
        <v>7.1</v>
      </c>
      <c r="BZ83" s="48">
        <v>7.0188495158844102</v>
      </c>
      <c r="CA83" s="48">
        <v>7.4653555032606924</v>
      </c>
      <c r="CB83" s="48">
        <v>7.6430679420594547</v>
      </c>
      <c r="CD83" s="5">
        <v>15</v>
      </c>
      <c r="CF83" s="5">
        <f t="shared" si="6"/>
        <v>225600</v>
      </c>
      <c r="CG83" s="5">
        <v>27</v>
      </c>
      <c r="CH83" s="5">
        <v>30</v>
      </c>
      <c r="CI83" s="5">
        <v>5.5</v>
      </c>
      <c r="CJ83" s="48">
        <v>5.7769157155258135</v>
      </c>
      <c r="CK83" s="48">
        <v>7.5071414101605667</v>
      </c>
      <c r="CL83" s="48">
        <v>7.2304337619812751</v>
      </c>
      <c r="CN83" s="5">
        <v>20</v>
      </c>
      <c r="CP83" s="5">
        <f t="shared" si="7"/>
        <v>222780</v>
      </c>
      <c r="CQ83" s="5">
        <v>28</v>
      </c>
      <c r="CR83" s="5">
        <v>30</v>
      </c>
      <c r="CS83" s="5">
        <v>5.5</v>
      </c>
      <c r="CT83" s="48">
        <v>6.7341937315401204</v>
      </c>
      <c r="CU83" s="48">
        <v>7.1071946708481608</v>
      </c>
      <c r="CV83" s="48">
        <v>7.647303850241248</v>
      </c>
      <c r="CX83" s="5">
        <v>20</v>
      </c>
    </row>
    <row r="84" spans="1:102" x14ac:dyDescent="0.25">
      <c r="A84" s="5">
        <v>32</v>
      </c>
      <c r="B84" s="46">
        <v>45420</v>
      </c>
      <c r="C84" s="5">
        <v>252000</v>
      </c>
      <c r="D84" s="5">
        <v>29</v>
      </c>
      <c r="E84" s="5">
        <v>32</v>
      </c>
      <c r="F84" s="5">
        <v>5.5</v>
      </c>
      <c r="G84" s="5">
        <v>6.5</v>
      </c>
      <c r="H84" s="5">
        <v>7.6</v>
      </c>
      <c r="I84" s="5">
        <v>7.3</v>
      </c>
      <c r="K84" s="5">
        <v>15</v>
      </c>
      <c r="M84" s="5">
        <f t="shared" si="0"/>
        <v>225600</v>
      </c>
      <c r="N84" s="5">
        <v>27</v>
      </c>
      <c r="O84" s="5">
        <v>29</v>
      </c>
      <c r="P84" s="5">
        <v>6.1</v>
      </c>
      <c r="Q84" s="5">
        <v>6.5</v>
      </c>
      <c r="R84" s="5">
        <v>7.7</v>
      </c>
      <c r="S84" s="48">
        <v>7.1139136735520676</v>
      </c>
      <c r="U84" s="5">
        <v>22</v>
      </c>
      <c r="W84" s="5">
        <f t="shared" si="1"/>
        <v>222780</v>
      </c>
      <c r="X84" s="5">
        <v>27</v>
      </c>
      <c r="Y84" s="5">
        <v>30</v>
      </c>
      <c r="Z84" s="5">
        <v>6</v>
      </c>
      <c r="AA84" s="48">
        <v>6.3606086004696838</v>
      </c>
      <c r="AB84" s="48">
        <v>7.4900493562650654</v>
      </c>
      <c r="AC84" s="48">
        <v>7.718932388449887</v>
      </c>
      <c r="AE84" s="5">
        <v>21</v>
      </c>
      <c r="AG84" s="5">
        <f t="shared" si="2"/>
        <v>225600</v>
      </c>
      <c r="AH84" s="5">
        <v>26</v>
      </c>
      <c r="AI84" s="5">
        <v>29</v>
      </c>
      <c r="AJ84" s="5">
        <v>6.6</v>
      </c>
      <c r="AK84" s="48">
        <v>6.5380447378443325</v>
      </c>
      <c r="AL84" s="48">
        <v>7.1463997758864046</v>
      </c>
      <c r="AM84" s="48">
        <v>7.2808943503551697</v>
      </c>
      <c r="AO84" s="5">
        <v>16</v>
      </c>
      <c r="AQ84" s="5">
        <f t="shared" si="3"/>
        <v>225600</v>
      </c>
      <c r="AR84" s="5">
        <v>29</v>
      </c>
      <c r="AS84" s="5">
        <v>32</v>
      </c>
      <c r="AT84" s="5">
        <v>6.3</v>
      </c>
      <c r="AU84" s="48">
        <v>6.5548737898877931</v>
      </c>
      <c r="AV84" s="48">
        <v>7.2245071618995116</v>
      </c>
      <c r="AW84" s="48">
        <v>7.1267593893124115</v>
      </c>
      <c r="AY84" s="5">
        <v>24</v>
      </c>
      <c r="AZ84" s="5">
        <v>32</v>
      </c>
      <c r="BA84" s="46">
        <v>45420</v>
      </c>
      <c r="BB84" s="5">
        <v>252000</v>
      </c>
      <c r="BC84" s="5">
        <v>26</v>
      </c>
      <c r="BD84" s="5">
        <v>32</v>
      </c>
      <c r="BE84" s="5">
        <v>6.3</v>
      </c>
      <c r="BF84" s="48">
        <v>6.0117612752453464</v>
      </c>
      <c r="BG84" s="48">
        <v>7.6959638729146933</v>
      </c>
      <c r="BH84" s="48">
        <v>7.2237774167863735</v>
      </c>
      <c r="BJ84" s="5">
        <v>17</v>
      </c>
      <c r="BL84" s="5">
        <f t="shared" si="4"/>
        <v>222780</v>
      </c>
      <c r="BM84" s="5">
        <v>27</v>
      </c>
      <c r="BN84" s="5">
        <v>31</v>
      </c>
      <c r="BO84" s="5">
        <v>6.2</v>
      </c>
      <c r="BP84" s="48">
        <v>5.9664882017178149</v>
      </c>
      <c r="BQ84" s="74">
        <v>7.5624822815722341</v>
      </c>
      <c r="BR84" s="48">
        <v>7.7965020814068744</v>
      </c>
      <c r="BT84" s="5">
        <v>23</v>
      </c>
      <c r="BV84" s="5">
        <f t="shared" si="5"/>
        <v>225600</v>
      </c>
      <c r="BW84" s="5">
        <v>28</v>
      </c>
      <c r="BX84" s="5">
        <v>30</v>
      </c>
      <c r="BY84" s="5">
        <v>5.8</v>
      </c>
      <c r="BZ84" s="48">
        <v>6.1044078324534539</v>
      </c>
      <c r="CA84" s="48">
        <v>7.3857716759921157</v>
      </c>
      <c r="CB84" s="48">
        <v>7.206841484424257</v>
      </c>
      <c r="CD84" s="5">
        <v>17</v>
      </c>
      <c r="CF84" s="5">
        <f t="shared" si="6"/>
        <v>225600</v>
      </c>
      <c r="CG84" s="5">
        <v>29</v>
      </c>
      <c r="CH84" s="5">
        <v>30</v>
      </c>
      <c r="CI84" s="5">
        <v>7.1</v>
      </c>
      <c r="CJ84" s="48">
        <v>6.2270567056091046</v>
      </c>
      <c r="CK84" s="48">
        <v>7.4609192093738663</v>
      </c>
      <c r="CL84" s="48">
        <v>7.6554594236320659</v>
      </c>
      <c r="CN84" s="5">
        <v>19</v>
      </c>
      <c r="CP84" s="5">
        <f t="shared" si="7"/>
        <v>222780</v>
      </c>
      <c r="CQ84" s="5">
        <v>28</v>
      </c>
      <c r="CR84" s="5">
        <v>31</v>
      </c>
      <c r="CS84" s="5">
        <v>6</v>
      </c>
      <c r="CT84" s="48">
        <v>5.9278869502665668</v>
      </c>
      <c r="CU84" s="48">
        <v>7.353719891222803</v>
      </c>
      <c r="CV84" s="48">
        <v>7.6445824621572758</v>
      </c>
      <c r="CX84" s="5">
        <v>21</v>
      </c>
    </row>
    <row r="85" spans="1:102" x14ac:dyDescent="0.25">
      <c r="A85" s="5">
        <v>33</v>
      </c>
      <c r="B85" s="46">
        <v>45421</v>
      </c>
      <c r="C85" s="5">
        <v>252000</v>
      </c>
      <c r="D85" s="5">
        <v>29</v>
      </c>
      <c r="E85" s="5">
        <v>30</v>
      </c>
      <c r="F85" s="5">
        <v>6.4</v>
      </c>
      <c r="G85" s="5">
        <v>5.9</v>
      </c>
      <c r="H85" s="5">
        <v>7.2</v>
      </c>
      <c r="I85" s="5">
        <v>7.3</v>
      </c>
      <c r="K85" s="5">
        <v>21</v>
      </c>
      <c r="M85" s="5">
        <f t="shared" si="0"/>
        <v>225600</v>
      </c>
      <c r="N85" s="5">
        <v>27</v>
      </c>
      <c r="O85" s="5">
        <v>30</v>
      </c>
      <c r="P85" s="5">
        <v>6.7</v>
      </c>
      <c r="Q85" s="5">
        <v>6.4</v>
      </c>
      <c r="R85" s="5">
        <v>7.7</v>
      </c>
      <c r="S85" s="48">
        <v>7.4344977794755929</v>
      </c>
      <c r="U85" s="5">
        <v>17</v>
      </c>
      <c r="W85" s="5">
        <f t="shared" si="1"/>
        <v>222780</v>
      </c>
      <c r="X85" s="5">
        <v>27</v>
      </c>
      <c r="Y85" s="5">
        <v>30</v>
      </c>
      <c r="Z85" s="5">
        <v>7</v>
      </c>
      <c r="AA85" s="48">
        <v>7.0434043127013615</v>
      </c>
      <c r="AB85" s="48">
        <v>7.1761722357611131</v>
      </c>
      <c r="AC85" s="48">
        <v>7.6554158619511838</v>
      </c>
      <c r="AE85" s="5">
        <v>25</v>
      </c>
      <c r="AG85" s="5">
        <f t="shared" si="2"/>
        <v>225600</v>
      </c>
      <c r="AH85" s="5">
        <v>28</v>
      </c>
      <c r="AI85" s="5">
        <v>32</v>
      </c>
      <c r="AJ85" s="5">
        <v>6.9</v>
      </c>
      <c r="AK85" s="48">
        <v>6.1407772036290069</v>
      </c>
      <c r="AL85" s="48">
        <v>7.2501002418797329</v>
      </c>
      <c r="AM85" s="48">
        <v>7.2792543259422988</v>
      </c>
      <c r="AO85" s="5">
        <v>17</v>
      </c>
      <c r="AQ85" s="5">
        <f t="shared" si="3"/>
        <v>225600</v>
      </c>
      <c r="AR85" s="5">
        <v>29</v>
      </c>
      <c r="AS85" s="5">
        <v>30</v>
      </c>
      <c r="AT85" s="5">
        <v>5.7</v>
      </c>
      <c r="AU85" s="48">
        <v>5.5092240990154853</v>
      </c>
      <c r="AV85" s="48">
        <v>7.7316720674870263</v>
      </c>
      <c r="AW85" s="48">
        <v>7.2463329403192454</v>
      </c>
      <c r="AY85" s="5">
        <v>18</v>
      </c>
      <c r="AZ85" s="5">
        <v>33</v>
      </c>
      <c r="BA85" s="46">
        <v>45421</v>
      </c>
      <c r="BB85" s="5">
        <v>252000</v>
      </c>
      <c r="BC85" s="5">
        <v>28</v>
      </c>
      <c r="BD85" s="5">
        <v>31</v>
      </c>
      <c r="BE85" s="5">
        <v>6</v>
      </c>
      <c r="BF85" s="48">
        <v>6.2174308133091944</v>
      </c>
      <c r="BG85" s="48">
        <v>7.4485661949854123</v>
      </c>
      <c r="BH85" s="48">
        <v>7.4302011176374165</v>
      </c>
      <c r="BJ85" s="5">
        <v>25</v>
      </c>
      <c r="BL85" s="5">
        <f t="shared" si="4"/>
        <v>222780</v>
      </c>
      <c r="BM85" s="5">
        <v>28</v>
      </c>
      <c r="BN85" s="5">
        <v>32</v>
      </c>
      <c r="BO85" s="5">
        <v>6.6</v>
      </c>
      <c r="BP85" s="48">
        <v>5.5970023179182338</v>
      </c>
      <c r="BQ85" s="74">
        <v>7.7500057823959425</v>
      </c>
      <c r="BR85" s="48">
        <v>7.7203563382624631</v>
      </c>
      <c r="BT85" s="5">
        <v>18</v>
      </c>
      <c r="BV85" s="5">
        <f t="shared" si="5"/>
        <v>225600</v>
      </c>
      <c r="BW85" s="5">
        <v>26</v>
      </c>
      <c r="BX85" s="5">
        <v>29</v>
      </c>
      <c r="BY85" s="5">
        <v>5.6</v>
      </c>
      <c r="BZ85" s="48">
        <v>6.0445051229806879</v>
      </c>
      <c r="CA85" s="48">
        <v>7.3610480464802786</v>
      </c>
      <c r="CB85" s="48">
        <v>7.3116892842216457</v>
      </c>
      <c r="CD85" s="5">
        <v>20</v>
      </c>
      <c r="CF85" s="5">
        <f t="shared" si="6"/>
        <v>225600</v>
      </c>
      <c r="CG85" s="5">
        <v>27</v>
      </c>
      <c r="CH85" s="5">
        <v>30</v>
      </c>
      <c r="CI85" s="5">
        <v>5.9</v>
      </c>
      <c r="CJ85" s="48">
        <v>5.6057612904905607</v>
      </c>
      <c r="CK85" s="48">
        <v>7.5463158295166144</v>
      </c>
      <c r="CL85" s="48">
        <v>7.2348491484075366</v>
      </c>
      <c r="CN85" s="5">
        <v>21</v>
      </c>
      <c r="CP85" s="5">
        <f t="shared" si="7"/>
        <v>222780</v>
      </c>
      <c r="CQ85" s="5">
        <v>28</v>
      </c>
      <c r="CR85" s="5">
        <v>32</v>
      </c>
      <c r="CS85" s="5">
        <v>6</v>
      </c>
      <c r="CT85" s="48">
        <v>5.9961770253495965</v>
      </c>
      <c r="CU85" s="48">
        <v>7.2322597176043653</v>
      </c>
      <c r="CV85" s="48">
        <v>7.5771941781912417</v>
      </c>
      <c r="CX85" s="5">
        <v>19</v>
      </c>
    </row>
    <row r="86" spans="1:102" x14ac:dyDescent="0.25">
      <c r="A86" s="5">
        <v>34</v>
      </c>
      <c r="B86" s="46">
        <v>45422</v>
      </c>
      <c r="C86" s="5">
        <v>252000</v>
      </c>
      <c r="D86" s="5">
        <v>26</v>
      </c>
      <c r="E86" s="5">
        <v>30</v>
      </c>
      <c r="F86" s="5">
        <v>5.8</v>
      </c>
      <c r="G86" s="5">
        <v>6</v>
      </c>
      <c r="H86" s="5">
        <v>7.2</v>
      </c>
      <c r="I86" s="5">
        <v>7.5</v>
      </c>
      <c r="K86" s="5">
        <v>17</v>
      </c>
      <c r="M86" s="5">
        <f t="shared" si="0"/>
        <v>225600</v>
      </c>
      <c r="N86" s="5">
        <v>28</v>
      </c>
      <c r="O86" s="5">
        <v>29</v>
      </c>
      <c r="P86" s="5">
        <v>6.6</v>
      </c>
      <c r="Q86" s="5">
        <v>7</v>
      </c>
      <c r="R86" s="5">
        <v>7.4</v>
      </c>
      <c r="S86" s="48">
        <v>7.2394912945076761</v>
      </c>
      <c r="U86" s="5">
        <v>16</v>
      </c>
      <c r="W86" s="5">
        <f t="shared" si="1"/>
        <v>222780</v>
      </c>
      <c r="X86" s="5">
        <v>26</v>
      </c>
      <c r="Y86" s="5">
        <v>32</v>
      </c>
      <c r="Z86" s="5">
        <v>6.1</v>
      </c>
      <c r="AA86" s="48">
        <v>6.4112617128056444</v>
      </c>
      <c r="AB86" s="48">
        <v>7.5485078752078785</v>
      </c>
      <c r="AC86" s="48">
        <v>7.1074587243451255</v>
      </c>
      <c r="AE86" s="5">
        <v>17</v>
      </c>
      <c r="AG86" s="5">
        <f t="shared" si="2"/>
        <v>225600</v>
      </c>
      <c r="AH86" s="5">
        <v>29</v>
      </c>
      <c r="AI86" s="5">
        <v>31</v>
      </c>
      <c r="AJ86" s="5">
        <v>6.8</v>
      </c>
      <c r="AK86" s="48">
        <v>6.1328813500436681</v>
      </c>
      <c r="AL86" s="48">
        <v>7.3920849161903348</v>
      </c>
      <c r="AM86" s="48">
        <v>7.1602285468247571</v>
      </c>
      <c r="AO86" s="5">
        <v>19</v>
      </c>
      <c r="AQ86" s="5">
        <f t="shared" si="3"/>
        <v>225600</v>
      </c>
      <c r="AR86" s="5">
        <v>27</v>
      </c>
      <c r="AS86" s="5">
        <v>32</v>
      </c>
      <c r="AT86" s="5">
        <v>6.6</v>
      </c>
      <c r="AU86" s="48">
        <v>6.3110115786313346</v>
      </c>
      <c r="AV86" s="48">
        <v>7.5396211380173046</v>
      </c>
      <c r="AW86" s="48">
        <v>7.6999526470148378</v>
      </c>
      <c r="AY86" s="5">
        <v>25</v>
      </c>
      <c r="AZ86" s="5">
        <v>34</v>
      </c>
      <c r="BA86" s="46">
        <v>45422</v>
      </c>
      <c r="BB86" s="5">
        <v>252000</v>
      </c>
      <c r="BC86" s="5">
        <v>27</v>
      </c>
      <c r="BD86" s="5">
        <v>31</v>
      </c>
      <c r="BE86" s="5">
        <v>6.7</v>
      </c>
      <c r="BF86" s="48">
        <v>5.8702917223241009</v>
      </c>
      <c r="BG86" s="48">
        <v>7.1091223243897055</v>
      </c>
      <c r="BH86" s="48">
        <v>7.2931122341543437</v>
      </c>
      <c r="BJ86" s="5">
        <v>25</v>
      </c>
      <c r="BL86" s="5">
        <f t="shared" si="4"/>
        <v>222780</v>
      </c>
      <c r="BM86" s="5">
        <v>28</v>
      </c>
      <c r="BN86" s="5">
        <v>31</v>
      </c>
      <c r="BO86" s="5">
        <v>6.9</v>
      </c>
      <c r="BP86" s="48">
        <v>6.5987224715195376</v>
      </c>
      <c r="BQ86" s="48">
        <v>7.7950103697918882</v>
      </c>
      <c r="BR86" s="48">
        <v>7.7599100060188224</v>
      </c>
      <c r="BT86" s="5">
        <v>24</v>
      </c>
      <c r="BV86" s="5">
        <f t="shared" si="5"/>
        <v>225600</v>
      </c>
      <c r="BW86" s="5">
        <v>28</v>
      </c>
      <c r="BX86" s="5">
        <v>29</v>
      </c>
      <c r="BY86" s="5">
        <v>5.8</v>
      </c>
      <c r="BZ86" s="48">
        <v>6.2955518159124306</v>
      </c>
      <c r="CA86" s="48">
        <v>7.3590473353023773</v>
      </c>
      <c r="CB86" s="48">
        <v>7.1705596460532934</v>
      </c>
      <c r="CD86" s="5">
        <v>23</v>
      </c>
      <c r="CF86" s="5">
        <f t="shared" si="6"/>
        <v>225600</v>
      </c>
      <c r="CG86" s="5">
        <v>27</v>
      </c>
      <c r="CH86" s="5">
        <v>31</v>
      </c>
      <c r="CI86" s="5">
        <v>7.1</v>
      </c>
      <c r="CJ86" s="48">
        <v>5.6295942558503924</v>
      </c>
      <c r="CK86" s="48">
        <v>7.2678804649081643</v>
      </c>
      <c r="CL86" s="48">
        <v>7.4292351621653241</v>
      </c>
      <c r="CN86" s="5">
        <v>23</v>
      </c>
      <c r="CP86" s="5">
        <f t="shared" si="7"/>
        <v>222780</v>
      </c>
      <c r="CQ86" s="5">
        <v>27</v>
      </c>
      <c r="CR86" s="5">
        <v>30</v>
      </c>
      <c r="CS86" s="5">
        <v>7</v>
      </c>
      <c r="CT86" s="48">
        <v>6.4952728226650516</v>
      </c>
      <c r="CU86" s="48">
        <v>7.6487131382669986</v>
      </c>
      <c r="CV86" s="48">
        <v>7.2369431105152797</v>
      </c>
      <c r="CX86" s="5">
        <v>23</v>
      </c>
    </row>
    <row r="87" spans="1:102" x14ac:dyDescent="0.25">
      <c r="A87" s="5">
        <v>35</v>
      </c>
      <c r="B87" s="46">
        <v>45423</v>
      </c>
      <c r="C87" s="5">
        <v>252000</v>
      </c>
      <c r="D87" s="5">
        <v>27</v>
      </c>
      <c r="E87" s="5">
        <v>32</v>
      </c>
      <c r="F87" s="5">
        <v>5.6</v>
      </c>
      <c r="G87" s="5">
        <v>5.7</v>
      </c>
      <c r="H87" s="5">
        <v>7.3</v>
      </c>
      <c r="I87" s="5">
        <v>7.4</v>
      </c>
      <c r="K87" s="5">
        <v>22</v>
      </c>
      <c r="M87" s="5">
        <f t="shared" si="0"/>
        <v>225600</v>
      </c>
      <c r="N87" s="5">
        <v>27</v>
      </c>
      <c r="O87" s="5">
        <v>30</v>
      </c>
      <c r="P87" s="5">
        <v>5.7</v>
      </c>
      <c r="Q87" s="5">
        <v>6.3</v>
      </c>
      <c r="R87" s="5">
        <v>7.1</v>
      </c>
      <c r="S87" s="48">
        <v>7.71187776984846</v>
      </c>
      <c r="U87" s="5">
        <v>25</v>
      </c>
      <c r="W87" s="5">
        <f t="shared" si="1"/>
        <v>222780</v>
      </c>
      <c r="X87" s="5">
        <v>26</v>
      </c>
      <c r="Y87" s="5">
        <v>30</v>
      </c>
      <c r="Z87" s="5">
        <v>5.8</v>
      </c>
      <c r="AA87" s="48">
        <v>5.857314336041985</v>
      </c>
      <c r="AB87" s="48">
        <v>7.3288491992334643</v>
      </c>
      <c r="AC87" s="48">
        <v>7.5344763953623737</v>
      </c>
      <c r="AE87" s="5">
        <v>21</v>
      </c>
      <c r="AG87" s="5">
        <f t="shared" si="2"/>
        <v>225600</v>
      </c>
      <c r="AH87" s="5">
        <v>28</v>
      </c>
      <c r="AI87" s="5">
        <v>29</v>
      </c>
      <c r="AJ87" s="5">
        <v>5.8</v>
      </c>
      <c r="AK87" s="48">
        <v>6.2363059242913987</v>
      </c>
      <c r="AL87" s="48">
        <v>7.3263222543480637</v>
      </c>
      <c r="AM87" s="48">
        <v>7.5048553799503273</v>
      </c>
      <c r="AO87" s="5">
        <v>19</v>
      </c>
      <c r="AQ87" s="5">
        <f t="shared" si="3"/>
        <v>225600</v>
      </c>
      <c r="AR87" s="5">
        <v>28</v>
      </c>
      <c r="AS87" s="5">
        <v>29</v>
      </c>
      <c r="AT87" s="5">
        <v>7</v>
      </c>
      <c r="AU87" s="48">
        <v>6.7749110193454891</v>
      </c>
      <c r="AV87" s="48">
        <v>7.6231595459471615</v>
      </c>
      <c r="AW87" s="48">
        <v>7.2516718231920771</v>
      </c>
      <c r="AY87" s="5">
        <v>20</v>
      </c>
      <c r="AZ87" s="5">
        <v>35</v>
      </c>
      <c r="BA87" s="46">
        <v>45423</v>
      </c>
      <c r="BB87" s="5">
        <v>252000</v>
      </c>
      <c r="BC87" s="5">
        <v>28</v>
      </c>
      <c r="BD87" s="5">
        <v>32</v>
      </c>
      <c r="BE87" s="5">
        <v>5.5</v>
      </c>
      <c r="BF87" s="48">
        <v>6.9518804269347125</v>
      </c>
      <c r="BG87" s="48">
        <v>7.5102718848387378</v>
      </c>
      <c r="BH87" s="48">
        <v>7.1655694455126184</v>
      </c>
      <c r="BJ87" s="5">
        <v>16</v>
      </c>
      <c r="BL87" s="5">
        <f t="shared" si="4"/>
        <v>222780</v>
      </c>
      <c r="BM87" s="5">
        <v>26</v>
      </c>
      <c r="BN87" s="5">
        <v>32</v>
      </c>
      <c r="BO87" s="5">
        <v>6.1</v>
      </c>
      <c r="BP87" s="48">
        <v>5.5645743134668741</v>
      </c>
      <c r="BQ87" s="48">
        <v>7.5485800960399301</v>
      </c>
      <c r="BR87" s="48">
        <v>7.4294744669727812</v>
      </c>
      <c r="BT87" s="5">
        <v>18</v>
      </c>
      <c r="BV87" s="5">
        <f t="shared" si="5"/>
        <v>225600</v>
      </c>
      <c r="BW87" s="5">
        <v>28</v>
      </c>
      <c r="BX87" s="5">
        <v>29</v>
      </c>
      <c r="BY87" s="5">
        <v>5.8</v>
      </c>
      <c r="BZ87" s="48">
        <v>5.8462749267432077</v>
      </c>
      <c r="CA87" s="48">
        <v>7.489666624452564</v>
      </c>
      <c r="CB87" s="48">
        <v>7.6639235558906904</v>
      </c>
      <c r="CD87" s="5">
        <v>17</v>
      </c>
      <c r="CF87" s="5">
        <f t="shared" si="6"/>
        <v>225600</v>
      </c>
      <c r="CG87" s="5">
        <v>28</v>
      </c>
      <c r="CH87" s="5">
        <v>29</v>
      </c>
      <c r="CI87" s="5">
        <v>6</v>
      </c>
      <c r="CJ87" s="48">
        <v>6.9888499728577331</v>
      </c>
      <c r="CK87" s="48">
        <v>7.1039924798071024</v>
      </c>
      <c r="CL87" s="48">
        <v>7.2954249262221316</v>
      </c>
      <c r="CN87" s="5">
        <v>25</v>
      </c>
      <c r="CP87" s="5">
        <f t="shared" si="7"/>
        <v>222780</v>
      </c>
      <c r="CQ87" s="5">
        <v>26</v>
      </c>
      <c r="CR87" s="5">
        <v>30</v>
      </c>
      <c r="CS87" s="5">
        <v>5.5</v>
      </c>
      <c r="CT87" s="48">
        <v>6.5715577197483368</v>
      </c>
      <c r="CU87" s="48">
        <v>7.719259744751036</v>
      </c>
      <c r="CV87" s="48">
        <v>7.6262164340241654</v>
      </c>
      <c r="CX87" s="5">
        <v>18</v>
      </c>
    </row>
    <row r="88" spans="1:102" x14ac:dyDescent="0.25">
      <c r="A88" s="132" t="s">
        <v>120</v>
      </c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BB88" s="2"/>
      <c r="BC88" s="2"/>
      <c r="BD88" s="2"/>
      <c r="BE88" s="2"/>
      <c r="BF88" s="2"/>
      <c r="BG88" s="2"/>
      <c r="BH88" s="2"/>
      <c r="BI88" s="2"/>
      <c r="BJ88" s="2"/>
    </row>
    <row r="89" spans="1:102" x14ac:dyDescent="0.25">
      <c r="A89" s="5">
        <v>1</v>
      </c>
      <c r="B89" s="46">
        <v>45389</v>
      </c>
      <c r="C89" s="5">
        <v>252000</v>
      </c>
      <c r="D89" s="5">
        <v>28</v>
      </c>
      <c r="E89" s="5">
        <v>31</v>
      </c>
      <c r="F89" s="5">
        <v>5.8</v>
      </c>
      <c r="G89" s="5">
        <v>7</v>
      </c>
      <c r="H89" s="5">
        <v>7.5</v>
      </c>
      <c r="I89" s="48">
        <v>7.7296577218601996</v>
      </c>
      <c r="J89" s="5">
        <v>0.05</v>
      </c>
      <c r="K89" s="5">
        <v>17</v>
      </c>
      <c r="AZ89" s="5">
        <v>1</v>
      </c>
      <c r="BA89" s="46">
        <v>45389</v>
      </c>
      <c r="BB89" s="5">
        <v>252000</v>
      </c>
      <c r="BC89" s="5">
        <v>26</v>
      </c>
      <c r="BD89" s="5">
        <v>32</v>
      </c>
      <c r="BE89" s="5">
        <v>7</v>
      </c>
      <c r="BF89" s="48">
        <v>5.9280206476927333</v>
      </c>
      <c r="BG89" s="48">
        <v>7.5767547066063212</v>
      </c>
      <c r="BH89" s="48">
        <v>7.4215101365718263</v>
      </c>
      <c r="BI89" s="5">
        <v>0.02</v>
      </c>
      <c r="BJ89" s="5">
        <v>23</v>
      </c>
    </row>
    <row r="90" spans="1:102" x14ac:dyDescent="0.25">
      <c r="A90" s="5">
        <v>2</v>
      </c>
      <c r="B90" s="46">
        <v>45390</v>
      </c>
      <c r="C90" s="5">
        <v>252000</v>
      </c>
      <c r="D90" s="5">
        <v>28</v>
      </c>
      <c r="E90" s="5">
        <v>32</v>
      </c>
      <c r="F90" s="5">
        <v>6.4</v>
      </c>
      <c r="G90" s="5">
        <v>6.3</v>
      </c>
      <c r="H90" s="5">
        <v>7.1</v>
      </c>
      <c r="I90" s="48">
        <v>7.7593921115103193</v>
      </c>
      <c r="K90" s="5">
        <v>23</v>
      </c>
      <c r="L90" s="2"/>
      <c r="N90" s="132"/>
      <c r="O90" s="132"/>
      <c r="Q90" s="132"/>
      <c r="R90" s="132"/>
      <c r="S90" s="132"/>
      <c r="Z90" s="48"/>
      <c r="AZ90" s="5">
        <v>2</v>
      </c>
      <c r="BA90" s="46">
        <v>45390</v>
      </c>
      <c r="BB90" s="5">
        <v>252000</v>
      </c>
      <c r="BC90" s="5">
        <v>28</v>
      </c>
      <c r="BD90" s="5">
        <v>31</v>
      </c>
      <c r="BE90" s="5">
        <v>6.2</v>
      </c>
      <c r="BF90" s="48">
        <v>6.0923232998412544</v>
      </c>
      <c r="BG90" s="48">
        <v>7.3725002482150224</v>
      </c>
      <c r="BH90" s="48">
        <v>7.5456710849596345</v>
      </c>
      <c r="BJ90" s="5">
        <v>19</v>
      </c>
    </row>
    <row r="91" spans="1:102" ht="14.4" customHeight="1" x14ac:dyDescent="0.25">
      <c r="A91" s="5">
        <v>3</v>
      </c>
      <c r="B91" s="46">
        <v>45391</v>
      </c>
      <c r="C91" s="5">
        <v>252000</v>
      </c>
      <c r="D91" s="5">
        <v>26</v>
      </c>
      <c r="E91" s="5">
        <v>29</v>
      </c>
      <c r="F91" s="5">
        <v>6.4</v>
      </c>
      <c r="G91" s="5">
        <v>6.6</v>
      </c>
      <c r="H91" s="5">
        <v>7.5</v>
      </c>
      <c r="I91" s="48">
        <v>7.1433889066423957</v>
      </c>
      <c r="K91" s="5">
        <v>24</v>
      </c>
      <c r="P91" s="132" t="s">
        <v>188</v>
      </c>
      <c r="Q91" s="132"/>
      <c r="R91" s="132"/>
      <c r="S91" s="132"/>
      <c r="T91" s="132"/>
      <c r="U91" s="132"/>
      <c r="V91" s="132"/>
      <c r="Z91" s="132" t="s">
        <v>188</v>
      </c>
      <c r="AA91" s="132"/>
      <c r="AB91" s="132"/>
      <c r="AC91" s="132"/>
      <c r="AD91" s="132"/>
      <c r="AE91" s="2"/>
      <c r="AF91" s="2"/>
      <c r="AG91" s="2"/>
      <c r="AZ91" s="5">
        <v>3</v>
      </c>
      <c r="BA91" s="46">
        <v>45391</v>
      </c>
      <c r="BB91" s="5">
        <v>252000</v>
      </c>
      <c r="BC91" s="5">
        <v>26</v>
      </c>
      <c r="BD91" s="5">
        <v>32</v>
      </c>
      <c r="BE91" s="5">
        <v>6.6</v>
      </c>
      <c r="BF91" s="48">
        <v>6.9124158273181093</v>
      </c>
      <c r="BG91" s="48">
        <v>7.5044805949740105</v>
      </c>
      <c r="BH91" s="48">
        <v>7.1072222249539427</v>
      </c>
      <c r="BJ91" s="5">
        <v>21</v>
      </c>
    </row>
    <row r="92" spans="1:102" x14ac:dyDescent="0.25">
      <c r="A92" s="5">
        <v>4</v>
      </c>
      <c r="B92" s="46">
        <v>45392</v>
      </c>
      <c r="C92" s="5">
        <v>252000</v>
      </c>
      <c r="D92" s="5">
        <v>28</v>
      </c>
      <c r="E92" s="5">
        <v>31</v>
      </c>
      <c r="F92" s="5">
        <v>6.5</v>
      </c>
      <c r="G92" s="5">
        <v>6.8</v>
      </c>
      <c r="H92" s="5">
        <v>7.2</v>
      </c>
      <c r="I92" s="48">
        <v>7.5568040400854457</v>
      </c>
      <c r="K92" s="5">
        <v>25</v>
      </c>
      <c r="M92" s="41"/>
      <c r="P92" s="41">
        <v>1</v>
      </c>
      <c r="Q92" s="41">
        <v>2</v>
      </c>
      <c r="R92" s="5">
        <v>3</v>
      </c>
      <c r="S92" s="41">
        <v>4</v>
      </c>
      <c r="T92" s="41">
        <v>5</v>
      </c>
      <c r="U92" s="41">
        <v>6</v>
      </c>
      <c r="V92" s="41">
        <v>7</v>
      </c>
      <c r="W92" s="41">
        <v>7</v>
      </c>
      <c r="X92" s="41" t="s">
        <v>146</v>
      </c>
      <c r="Y92" s="41"/>
      <c r="AA92" s="41">
        <v>2</v>
      </c>
      <c r="AB92" s="41">
        <v>4</v>
      </c>
      <c r="AC92" s="5">
        <v>6</v>
      </c>
      <c r="AD92" s="41">
        <v>8</v>
      </c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5">
        <v>4</v>
      </c>
      <c r="BA92" s="46">
        <v>45392</v>
      </c>
      <c r="BB92" s="5">
        <v>252000</v>
      </c>
      <c r="BC92" s="5">
        <v>29</v>
      </c>
      <c r="BD92" s="5">
        <v>30</v>
      </c>
      <c r="BE92" s="5">
        <v>6.7</v>
      </c>
      <c r="BF92" s="48">
        <v>6.5777090510178722</v>
      </c>
      <c r="BG92" s="48">
        <v>7.1072409858718171</v>
      </c>
      <c r="BH92" s="48">
        <v>7.4149640947121327</v>
      </c>
      <c r="BJ92" s="5">
        <v>18</v>
      </c>
    </row>
    <row r="93" spans="1:102" ht="14.4" x14ac:dyDescent="0.25">
      <c r="A93" s="5">
        <v>5</v>
      </c>
      <c r="B93" s="46">
        <v>45393</v>
      </c>
      <c r="C93" s="5">
        <v>252000</v>
      </c>
      <c r="D93" s="5">
        <v>28</v>
      </c>
      <c r="E93" s="5">
        <v>30</v>
      </c>
      <c r="F93" s="5">
        <v>6.7</v>
      </c>
      <c r="G93" s="5">
        <v>6.9</v>
      </c>
      <c r="H93" s="5">
        <v>7.6</v>
      </c>
      <c r="I93" s="48">
        <v>7.3750293517645646</v>
      </c>
      <c r="K93" s="5">
        <v>24</v>
      </c>
      <c r="O93" s="5" t="s">
        <v>119</v>
      </c>
      <c r="P93" s="60">
        <v>34</v>
      </c>
      <c r="Q93" s="5">
        <v>36</v>
      </c>
      <c r="R93" s="5">
        <v>29</v>
      </c>
      <c r="S93" s="5">
        <v>40</v>
      </c>
      <c r="T93" s="5">
        <v>33</v>
      </c>
      <c r="U93" s="5">
        <v>34</v>
      </c>
      <c r="V93" s="5">
        <v>36</v>
      </c>
      <c r="W93" s="5">
        <v>29</v>
      </c>
      <c r="X93" s="5">
        <v>40</v>
      </c>
      <c r="Z93" s="5" t="s">
        <v>119</v>
      </c>
      <c r="AA93" s="60">
        <v>0.04</v>
      </c>
      <c r="AB93" s="5">
        <v>0.05</v>
      </c>
      <c r="AC93" s="5">
        <v>0.04</v>
      </c>
      <c r="AD93" s="5">
        <v>7.0000000000000007E-2</v>
      </c>
      <c r="AZ93" s="5">
        <v>5</v>
      </c>
      <c r="BA93" s="46">
        <v>45393</v>
      </c>
      <c r="BB93" s="5">
        <v>252000</v>
      </c>
      <c r="BC93" s="5">
        <v>26</v>
      </c>
      <c r="BD93" s="5">
        <v>29</v>
      </c>
      <c r="BE93" s="5">
        <v>6</v>
      </c>
      <c r="BF93" s="48">
        <v>5.6087079717290287</v>
      </c>
      <c r="BG93" s="48">
        <v>7.692883595695811</v>
      </c>
      <c r="BH93" s="48">
        <v>7.2993385271938696</v>
      </c>
      <c r="BJ93" s="5">
        <v>18</v>
      </c>
    </row>
    <row r="94" spans="1:102" x14ac:dyDescent="0.25">
      <c r="A94" s="5">
        <v>6</v>
      </c>
      <c r="B94" s="46">
        <v>45394</v>
      </c>
      <c r="C94" s="5">
        <v>252000</v>
      </c>
      <c r="D94" s="5">
        <v>28</v>
      </c>
      <c r="E94" s="5">
        <v>32</v>
      </c>
      <c r="F94" s="5">
        <v>6</v>
      </c>
      <c r="G94" s="5">
        <v>5.6</v>
      </c>
      <c r="H94" s="5">
        <v>7.6</v>
      </c>
      <c r="I94" s="48">
        <v>7.4129031400936913</v>
      </c>
      <c r="K94" s="5">
        <v>16</v>
      </c>
      <c r="M94" s="34"/>
      <c r="O94" s="5" t="s">
        <v>120</v>
      </c>
      <c r="P94" s="5">
        <v>32</v>
      </c>
      <c r="Q94" s="5">
        <v>26</v>
      </c>
      <c r="R94" s="5">
        <v>39</v>
      </c>
      <c r="S94" s="5">
        <v>38</v>
      </c>
      <c r="T94" s="5">
        <v>31</v>
      </c>
      <c r="U94" s="5">
        <v>34</v>
      </c>
      <c r="V94" s="5">
        <v>39</v>
      </c>
      <c r="W94" s="5">
        <v>37</v>
      </c>
      <c r="X94" s="5">
        <v>40</v>
      </c>
      <c r="Z94" s="5" t="s">
        <v>120</v>
      </c>
      <c r="AA94" s="5">
        <v>0.05</v>
      </c>
      <c r="AB94" s="5">
        <v>0.06</v>
      </c>
      <c r="AC94" s="5">
        <v>0.04</v>
      </c>
      <c r="AD94" s="5">
        <v>7.0000000000000007E-2</v>
      </c>
      <c r="AN94" s="8"/>
      <c r="AO94" s="8"/>
      <c r="AQ94" s="34"/>
      <c r="AX94" s="8"/>
      <c r="AY94" s="8"/>
      <c r="AZ94" s="5">
        <v>6</v>
      </c>
      <c r="BA94" s="46">
        <v>45394</v>
      </c>
      <c r="BB94" s="5">
        <v>252000</v>
      </c>
      <c r="BC94" s="5">
        <v>29</v>
      </c>
      <c r="BD94" s="5">
        <v>32</v>
      </c>
      <c r="BE94" s="5">
        <v>5.6</v>
      </c>
      <c r="BF94" s="48">
        <v>6.958480328494514</v>
      </c>
      <c r="BG94" s="48">
        <v>7.1308930110024722</v>
      </c>
      <c r="BH94" s="48">
        <v>7.4775290624709099</v>
      </c>
      <c r="BJ94" s="5">
        <v>18</v>
      </c>
    </row>
    <row r="95" spans="1:102" x14ac:dyDescent="0.25">
      <c r="A95" s="5">
        <v>7</v>
      </c>
      <c r="B95" s="46">
        <v>45395</v>
      </c>
      <c r="C95" s="5">
        <v>252000</v>
      </c>
      <c r="D95" s="5">
        <v>29</v>
      </c>
      <c r="E95" s="5">
        <v>30</v>
      </c>
      <c r="F95" s="5">
        <v>5.6</v>
      </c>
      <c r="G95" s="5">
        <v>7.1</v>
      </c>
      <c r="H95" s="5">
        <v>7.3</v>
      </c>
      <c r="I95" s="48">
        <v>7.4102083931931153</v>
      </c>
      <c r="K95" s="5">
        <v>25</v>
      </c>
      <c r="M95" s="34"/>
      <c r="O95" s="5" t="s">
        <v>121</v>
      </c>
      <c r="P95" s="5">
        <v>31</v>
      </c>
      <c r="Q95" s="5">
        <v>27</v>
      </c>
      <c r="R95" s="5">
        <v>37</v>
      </c>
      <c r="S95" s="5">
        <v>38</v>
      </c>
      <c r="T95" s="5">
        <v>27</v>
      </c>
      <c r="U95" s="5">
        <v>31</v>
      </c>
      <c r="V95" s="5">
        <v>27</v>
      </c>
      <c r="W95" s="5">
        <v>28</v>
      </c>
      <c r="X95" s="5">
        <v>40</v>
      </c>
      <c r="Y95" s="45"/>
      <c r="Z95" s="5" t="s">
        <v>121</v>
      </c>
      <c r="AA95" s="5">
        <v>0.02</v>
      </c>
      <c r="AB95" s="5">
        <v>0.03</v>
      </c>
      <c r="AC95" s="5">
        <v>7.0000000000000007E-2</v>
      </c>
      <c r="AD95" s="5">
        <v>0.08</v>
      </c>
      <c r="AI95" s="45"/>
      <c r="AJ95" s="44"/>
      <c r="AK95" s="45"/>
      <c r="AL95" s="44"/>
      <c r="AM95" s="45"/>
      <c r="AN95" s="8"/>
      <c r="AO95" s="8"/>
      <c r="AQ95" s="34"/>
      <c r="AR95" s="44"/>
      <c r="AS95" s="45"/>
      <c r="AT95" s="44"/>
      <c r="AU95" s="45"/>
      <c r="AV95" s="44"/>
      <c r="AW95" s="45"/>
      <c r="AX95" s="8"/>
      <c r="AY95" s="8"/>
      <c r="AZ95" s="5">
        <v>7</v>
      </c>
      <c r="BA95" s="46">
        <v>45395</v>
      </c>
      <c r="BB95" s="5">
        <v>252000</v>
      </c>
      <c r="BC95" s="5">
        <v>27</v>
      </c>
      <c r="BD95" s="5">
        <v>32</v>
      </c>
      <c r="BE95" s="5">
        <v>5.7</v>
      </c>
      <c r="BF95" s="48">
        <v>5.766312974756608</v>
      </c>
      <c r="BG95" s="48">
        <v>7.6642424197673371</v>
      </c>
      <c r="BH95" s="48">
        <v>7.2025779176246889</v>
      </c>
      <c r="BJ95" s="5">
        <v>15</v>
      </c>
    </row>
    <row r="96" spans="1:102" x14ac:dyDescent="0.25">
      <c r="A96" s="5">
        <v>8</v>
      </c>
      <c r="B96" s="46">
        <v>45396</v>
      </c>
      <c r="C96" s="5">
        <v>252000</v>
      </c>
      <c r="D96" s="5">
        <v>29</v>
      </c>
      <c r="E96" s="5">
        <v>31</v>
      </c>
      <c r="F96" s="5">
        <v>6.1</v>
      </c>
      <c r="G96" s="5">
        <v>5.8</v>
      </c>
      <c r="H96" s="5">
        <v>7.1</v>
      </c>
      <c r="I96" s="48">
        <v>7.5863967412163262</v>
      </c>
      <c r="K96" s="5">
        <v>24</v>
      </c>
      <c r="O96" s="5" t="s">
        <v>122</v>
      </c>
      <c r="P96" s="5">
        <v>32</v>
      </c>
      <c r="Q96" s="5">
        <v>37</v>
      </c>
      <c r="R96" s="5">
        <v>38</v>
      </c>
      <c r="S96" s="5">
        <v>39</v>
      </c>
      <c r="T96" s="5">
        <v>27</v>
      </c>
      <c r="U96" s="5">
        <v>36</v>
      </c>
      <c r="V96" s="5">
        <v>25</v>
      </c>
      <c r="W96" s="5">
        <v>40</v>
      </c>
      <c r="X96" s="5">
        <v>40</v>
      </c>
      <c r="Z96" s="5" t="s">
        <v>122</v>
      </c>
      <c r="AA96" s="5">
        <v>0.08</v>
      </c>
      <c r="AB96" s="5">
        <v>0.05</v>
      </c>
      <c r="AC96" s="5">
        <v>0.03</v>
      </c>
      <c r="AD96" s="5">
        <v>0.06</v>
      </c>
      <c r="AZ96" s="5">
        <v>8</v>
      </c>
      <c r="BA96" s="46">
        <v>45396</v>
      </c>
      <c r="BB96" s="5">
        <v>252000</v>
      </c>
      <c r="BC96" s="5">
        <v>26</v>
      </c>
      <c r="BD96" s="5">
        <v>30</v>
      </c>
      <c r="BE96" s="5">
        <v>6.5</v>
      </c>
      <c r="BF96" s="48">
        <v>6.2559134232895151</v>
      </c>
      <c r="BG96" s="48">
        <v>7.6198018235392651</v>
      </c>
      <c r="BH96" s="48">
        <v>7.6133749097457155</v>
      </c>
      <c r="BJ96" s="5">
        <v>24</v>
      </c>
    </row>
    <row r="97" spans="1:62" x14ac:dyDescent="0.25">
      <c r="A97" s="5">
        <v>9</v>
      </c>
      <c r="B97" s="46">
        <v>45397</v>
      </c>
      <c r="C97" s="5">
        <v>252000</v>
      </c>
      <c r="D97" s="5">
        <v>27</v>
      </c>
      <c r="E97" s="5">
        <v>31</v>
      </c>
      <c r="F97" s="5">
        <v>6.7</v>
      </c>
      <c r="G97" s="5">
        <v>6.4</v>
      </c>
      <c r="H97" s="5">
        <v>7.1</v>
      </c>
      <c r="I97" s="48">
        <v>7.6701881568463444</v>
      </c>
      <c r="K97" s="5">
        <v>25</v>
      </c>
      <c r="O97" s="5" t="s">
        <v>123</v>
      </c>
      <c r="P97" s="5">
        <v>31</v>
      </c>
      <c r="Q97" s="5">
        <v>40</v>
      </c>
      <c r="R97" s="5">
        <v>25</v>
      </c>
      <c r="S97" s="5">
        <v>36</v>
      </c>
      <c r="T97" s="5">
        <v>32</v>
      </c>
      <c r="U97" s="5">
        <v>36</v>
      </c>
      <c r="V97" s="5">
        <v>37</v>
      </c>
      <c r="W97" s="5">
        <v>33</v>
      </c>
      <c r="X97" s="5">
        <v>40</v>
      </c>
      <c r="Z97" s="5" t="s">
        <v>123</v>
      </c>
      <c r="AA97" s="5">
        <v>0.05</v>
      </c>
      <c r="AB97" s="5">
        <v>0.03</v>
      </c>
      <c r="AC97" s="5">
        <v>7.0000000000000007E-2</v>
      </c>
      <c r="AD97" s="5">
        <v>7.0000000000000007E-2</v>
      </c>
      <c r="AZ97" s="5">
        <v>9</v>
      </c>
      <c r="BA97" s="46">
        <v>45397</v>
      </c>
      <c r="BB97" s="5">
        <v>252000</v>
      </c>
      <c r="BC97" s="5">
        <v>28</v>
      </c>
      <c r="BD97" s="5">
        <v>31</v>
      </c>
      <c r="BE97" s="5">
        <v>6.5</v>
      </c>
      <c r="BF97" s="48">
        <v>6.7384520582714069</v>
      </c>
      <c r="BG97" s="48">
        <v>7.7722040284625846</v>
      </c>
      <c r="BH97" s="48">
        <v>7.1548675084292226</v>
      </c>
      <c r="BJ97" s="5">
        <v>18</v>
      </c>
    </row>
    <row r="98" spans="1:62" x14ac:dyDescent="0.25">
      <c r="A98" s="5">
        <v>10</v>
      </c>
      <c r="B98" s="46">
        <v>45398</v>
      </c>
      <c r="C98" s="5">
        <v>252000</v>
      </c>
      <c r="D98" s="5">
        <v>27</v>
      </c>
      <c r="E98" s="5">
        <v>32</v>
      </c>
      <c r="F98" s="5">
        <v>6.2</v>
      </c>
      <c r="G98" s="5">
        <v>6.8</v>
      </c>
      <c r="H98" s="5">
        <v>7.6</v>
      </c>
      <c r="I98" s="48">
        <v>7.7727686568861865</v>
      </c>
      <c r="K98" s="5">
        <v>23</v>
      </c>
      <c r="O98" s="5" t="s">
        <v>50</v>
      </c>
      <c r="P98" s="5">
        <v>38</v>
      </c>
      <c r="Q98" s="5">
        <v>35</v>
      </c>
      <c r="R98" s="5">
        <v>26</v>
      </c>
      <c r="S98" s="5">
        <v>36</v>
      </c>
      <c r="T98" s="5">
        <v>28</v>
      </c>
      <c r="U98" s="5">
        <v>29</v>
      </c>
      <c r="V98" s="5">
        <v>26</v>
      </c>
      <c r="W98" s="5">
        <v>37</v>
      </c>
      <c r="X98" s="5">
        <v>40</v>
      </c>
      <c r="Z98" s="5" t="s">
        <v>50</v>
      </c>
      <c r="AA98" s="5">
        <v>0.04</v>
      </c>
      <c r="AB98" s="5">
        <v>0.06</v>
      </c>
      <c r="AC98" s="5">
        <v>7.0000000000000007E-2</v>
      </c>
      <c r="AD98" s="5">
        <v>7.0000000000000007E-2</v>
      </c>
      <c r="AZ98" s="5">
        <v>10</v>
      </c>
      <c r="BA98" s="46">
        <v>45398</v>
      </c>
      <c r="BB98" s="5">
        <v>252000</v>
      </c>
      <c r="BC98" s="5">
        <v>28</v>
      </c>
      <c r="BD98" s="5">
        <v>32</v>
      </c>
      <c r="BE98" s="5">
        <v>5.6</v>
      </c>
      <c r="BF98" s="48">
        <v>6.9291818348146608</v>
      </c>
      <c r="BG98" s="48">
        <v>7.398257924926761</v>
      </c>
      <c r="BH98" s="48">
        <v>7.631071157667181</v>
      </c>
      <c r="BJ98" s="5">
        <v>23</v>
      </c>
    </row>
    <row r="99" spans="1:62" x14ac:dyDescent="0.25">
      <c r="A99" s="5">
        <v>11</v>
      </c>
      <c r="B99" s="46">
        <v>45399</v>
      </c>
      <c r="C99" s="5">
        <v>252000</v>
      </c>
      <c r="D99" s="5">
        <v>26</v>
      </c>
      <c r="E99" s="5">
        <v>30</v>
      </c>
      <c r="F99" s="5">
        <v>5.8</v>
      </c>
      <c r="G99" s="5">
        <v>6.8</v>
      </c>
      <c r="H99" s="5">
        <v>7.5</v>
      </c>
      <c r="I99" s="48">
        <v>7.3870840323925639</v>
      </c>
      <c r="K99" s="5">
        <v>16</v>
      </c>
      <c r="O99" s="5" t="s">
        <v>49</v>
      </c>
      <c r="P99" s="5">
        <v>27</v>
      </c>
      <c r="Q99" s="5">
        <v>40</v>
      </c>
      <c r="R99" s="5">
        <v>34</v>
      </c>
      <c r="S99" s="5">
        <v>34</v>
      </c>
      <c r="T99" s="5">
        <v>25</v>
      </c>
      <c r="U99" s="5">
        <v>25</v>
      </c>
      <c r="V99" s="5">
        <v>35</v>
      </c>
      <c r="W99" s="5">
        <v>32</v>
      </c>
      <c r="X99" s="5">
        <v>40</v>
      </c>
      <c r="Z99" s="5" t="s">
        <v>49</v>
      </c>
      <c r="AA99" s="5">
        <v>0.02</v>
      </c>
      <c r="AB99" s="5">
        <v>0.05</v>
      </c>
      <c r="AC99" s="5">
        <v>0.06</v>
      </c>
      <c r="AD99" s="5">
        <v>0.06</v>
      </c>
      <c r="AZ99" s="5">
        <v>11</v>
      </c>
      <c r="BA99" s="46">
        <v>45399</v>
      </c>
      <c r="BB99" s="5">
        <v>252000</v>
      </c>
      <c r="BC99" s="5">
        <v>28</v>
      </c>
      <c r="BD99" s="5">
        <v>30</v>
      </c>
      <c r="BE99" s="5">
        <v>7.1</v>
      </c>
      <c r="BF99" s="48">
        <v>5.5725433603446461</v>
      </c>
      <c r="BG99" s="48">
        <v>7.7860335408982131</v>
      </c>
      <c r="BH99" s="48">
        <v>7.7905578460315548</v>
      </c>
      <c r="BJ99" s="5">
        <v>16</v>
      </c>
    </row>
    <row r="100" spans="1:62" x14ac:dyDescent="0.25">
      <c r="A100" s="5">
        <v>12</v>
      </c>
      <c r="B100" s="46">
        <v>45400</v>
      </c>
      <c r="C100" s="5">
        <v>252000</v>
      </c>
      <c r="D100" s="5">
        <v>26</v>
      </c>
      <c r="E100" s="5">
        <v>32</v>
      </c>
      <c r="F100" s="5">
        <v>6.6</v>
      </c>
      <c r="G100" s="5">
        <v>5.8</v>
      </c>
      <c r="H100" s="5">
        <v>7.4</v>
      </c>
      <c r="I100" s="48">
        <v>7.5001802328202007</v>
      </c>
      <c r="K100" s="5">
        <v>17</v>
      </c>
      <c r="O100" s="5" t="s">
        <v>48</v>
      </c>
      <c r="P100" s="5">
        <v>35</v>
      </c>
      <c r="Q100" s="5">
        <v>34</v>
      </c>
      <c r="R100" s="5">
        <v>31</v>
      </c>
      <c r="S100" s="5">
        <v>29</v>
      </c>
      <c r="T100" s="5">
        <v>38</v>
      </c>
      <c r="U100" s="5">
        <v>29</v>
      </c>
      <c r="V100" s="5">
        <v>37</v>
      </c>
      <c r="W100" s="5">
        <v>40</v>
      </c>
      <c r="X100" s="5">
        <v>40</v>
      </c>
      <c r="Z100" s="5" t="s">
        <v>48</v>
      </c>
      <c r="AA100" s="5">
        <v>0.05</v>
      </c>
      <c r="AB100" s="5">
        <v>0.04</v>
      </c>
      <c r="AC100" s="5">
        <v>7.0000000000000007E-2</v>
      </c>
      <c r="AD100" s="5">
        <v>7.0000000000000007E-2</v>
      </c>
      <c r="AZ100" s="5">
        <v>12</v>
      </c>
      <c r="BA100" s="46">
        <v>45400</v>
      </c>
      <c r="BB100" s="5">
        <v>252000</v>
      </c>
      <c r="BC100" s="5">
        <v>27</v>
      </c>
      <c r="BD100" s="5">
        <v>30</v>
      </c>
      <c r="BE100" s="5">
        <v>6.2</v>
      </c>
      <c r="BF100" s="48">
        <v>6.4583135974914896</v>
      </c>
      <c r="BG100" s="48">
        <v>7.4569050038168285</v>
      </c>
      <c r="BH100" s="48">
        <v>7.3899044679396511</v>
      </c>
      <c r="BJ100" s="5">
        <v>24</v>
      </c>
    </row>
    <row r="101" spans="1:62" x14ac:dyDescent="0.25">
      <c r="A101" s="5">
        <v>13</v>
      </c>
      <c r="B101" s="46">
        <v>45401</v>
      </c>
      <c r="C101" s="5">
        <v>252000</v>
      </c>
      <c r="D101" s="5">
        <v>28</v>
      </c>
      <c r="E101" s="5">
        <v>29</v>
      </c>
      <c r="F101" s="5">
        <v>5.7</v>
      </c>
      <c r="G101" s="5">
        <v>6.3</v>
      </c>
      <c r="H101" s="5">
        <v>7.5</v>
      </c>
      <c r="I101" s="48">
        <v>7.4287637779325468</v>
      </c>
      <c r="K101" s="5">
        <v>23</v>
      </c>
      <c r="O101" s="5" t="s">
        <v>47</v>
      </c>
      <c r="P101" s="5">
        <v>38</v>
      </c>
      <c r="Q101" s="5">
        <v>39</v>
      </c>
      <c r="R101" s="5">
        <v>35</v>
      </c>
      <c r="S101" s="5">
        <v>37</v>
      </c>
      <c r="T101" s="5">
        <v>32</v>
      </c>
      <c r="U101" s="5">
        <v>38</v>
      </c>
      <c r="V101" s="5">
        <v>25</v>
      </c>
      <c r="W101" s="5">
        <v>40</v>
      </c>
      <c r="X101" s="5">
        <v>40</v>
      </c>
      <c r="Z101" s="5" t="s">
        <v>47</v>
      </c>
      <c r="AA101" s="5">
        <v>0.03</v>
      </c>
      <c r="AB101" s="5">
        <v>0.05</v>
      </c>
      <c r="AC101" s="5">
        <v>0.04</v>
      </c>
      <c r="AD101" s="5">
        <v>0.06</v>
      </c>
      <c r="AZ101" s="5">
        <v>13</v>
      </c>
      <c r="BA101" s="46">
        <v>45401</v>
      </c>
      <c r="BB101" s="5">
        <v>252000</v>
      </c>
      <c r="BC101" s="5">
        <v>28</v>
      </c>
      <c r="BD101" s="5">
        <v>31</v>
      </c>
      <c r="BE101" s="5">
        <v>6.9</v>
      </c>
      <c r="BF101" s="48">
        <v>7.0460764763098362</v>
      </c>
      <c r="BG101" s="48">
        <v>7.4581619924956088</v>
      </c>
      <c r="BH101" s="48">
        <v>7.5092944737663831</v>
      </c>
      <c r="BJ101" s="5">
        <v>23</v>
      </c>
    </row>
    <row r="102" spans="1:62" x14ac:dyDescent="0.25">
      <c r="A102" s="5">
        <v>14</v>
      </c>
      <c r="B102" s="46">
        <v>45402</v>
      </c>
      <c r="C102" s="5">
        <v>252000</v>
      </c>
      <c r="D102" s="5">
        <v>29</v>
      </c>
      <c r="E102" s="5">
        <v>31</v>
      </c>
      <c r="F102" s="5">
        <v>5.6</v>
      </c>
      <c r="G102" s="5">
        <v>6.2</v>
      </c>
      <c r="H102" s="5">
        <v>7.5</v>
      </c>
      <c r="I102" s="48">
        <v>7.7555073462986552</v>
      </c>
      <c r="K102" s="5">
        <v>22</v>
      </c>
      <c r="O102" s="5" t="s">
        <v>46</v>
      </c>
      <c r="P102" s="5">
        <v>34</v>
      </c>
      <c r="Q102" s="5">
        <v>33</v>
      </c>
      <c r="R102" s="5">
        <v>28</v>
      </c>
      <c r="S102" s="5">
        <v>31</v>
      </c>
      <c r="T102" s="5">
        <v>27</v>
      </c>
      <c r="U102" s="5">
        <v>33</v>
      </c>
      <c r="V102" s="5">
        <v>34</v>
      </c>
      <c r="W102" s="5">
        <v>35</v>
      </c>
      <c r="X102" s="5">
        <v>40</v>
      </c>
      <c r="Z102" s="5" t="s">
        <v>46</v>
      </c>
      <c r="AA102" s="5">
        <v>7.0000000000000007E-2</v>
      </c>
      <c r="AB102" s="5">
        <v>0.08</v>
      </c>
      <c r="AC102" s="5">
        <v>0.04</v>
      </c>
      <c r="AD102" s="5">
        <v>0.06</v>
      </c>
      <c r="AZ102" s="5">
        <v>14</v>
      </c>
      <c r="BA102" s="46">
        <v>45402</v>
      </c>
      <c r="BB102" s="5">
        <v>252000</v>
      </c>
      <c r="BC102" s="5">
        <v>29</v>
      </c>
      <c r="BD102" s="5">
        <v>31</v>
      </c>
      <c r="BE102" s="5">
        <v>6</v>
      </c>
      <c r="BF102" s="48">
        <v>6.2219978788545989</v>
      </c>
      <c r="BG102" s="48">
        <v>7.5428523508467018</v>
      </c>
      <c r="BH102" s="48">
        <v>7.7058087700551532</v>
      </c>
      <c r="BJ102" s="5">
        <v>23</v>
      </c>
    </row>
    <row r="103" spans="1:62" ht="14.4" x14ac:dyDescent="0.3">
      <c r="A103" s="5">
        <v>15</v>
      </c>
      <c r="B103" s="46">
        <v>45403</v>
      </c>
      <c r="C103" s="5">
        <v>252000</v>
      </c>
      <c r="D103" s="5">
        <v>26</v>
      </c>
      <c r="E103" s="5">
        <v>29</v>
      </c>
      <c r="F103" s="5">
        <v>6.5</v>
      </c>
      <c r="G103" s="5">
        <v>5.8</v>
      </c>
      <c r="H103" s="5">
        <v>7.4</v>
      </c>
      <c r="I103" s="48">
        <v>7.3108517510380704</v>
      </c>
      <c r="J103" s="5">
        <v>0.06</v>
      </c>
      <c r="K103" s="5">
        <v>18</v>
      </c>
      <c r="L103" s="41"/>
      <c r="Q103" s="41"/>
      <c r="S103" s="41"/>
      <c r="Z103" s="59"/>
      <c r="AZ103" s="5">
        <v>15</v>
      </c>
      <c r="BA103" s="46">
        <v>45403</v>
      </c>
      <c r="BB103" s="5">
        <v>252000</v>
      </c>
      <c r="BC103" s="5">
        <v>28</v>
      </c>
      <c r="BD103" s="5">
        <v>30</v>
      </c>
      <c r="BE103" s="5">
        <v>6.1</v>
      </c>
      <c r="BF103" s="48">
        <v>6.5520289154724383</v>
      </c>
      <c r="BG103" s="48">
        <v>7.61107040316059</v>
      </c>
      <c r="BH103" s="48">
        <v>7.5436662523920042</v>
      </c>
      <c r="BI103" s="5">
        <v>0.05</v>
      </c>
      <c r="BJ103" s="5">
        <v>23</v>
      </c>
    </row>
    <row r="104" spans="1:62" ht="14.4" x14ac:dyDescent="0.3">
      <c r="A104" s="5">
        <v>16</v>
      </c>
      <c r="B104" s="46">
        <v>45404</v>
      </c>
      <c r="C104" s="5">
        <v>252000</v>
      </c>
      <c r="D104" s="5">
        <v>27</v>
      </c>
      <c r="E104" s="5">
        <v>32</v>
      </c>
      <c r="F104" s="5">
        <v>6.1</v>
      </c>
      <c r="G104" s="5">
        <v>6.5</v>
      </c>
      <c r="H104" s="5">
        <v>7.2</v>
      </c>
      <c r="I104" s="48">
        <v>7.6049443181094363</v>
      </c>
      <c r="K104" s="5">
        <v>24</v>
      </c>
      <c r="L104" s="41"/>
      <c r="O104" s="35"/>
      <c r="Q104" s="132" t="s">
        <v>188</v>
      </c>
      <c r="R104" s="132"/>
      <c r="S104" s="132"/>
      <c r="T104" s="132"/>
      <c r="U104" s="132"/>
      <c r="V104" s="132"/>
      <c r="W104" s="132"/>
      <c r="Z104" s="59"/>
      <c r="AZ104" s="5">
        <v>16</v>
      </c>
      <c r="BA104" s="46">
        <v>45404</v>
      </c>
      <c r="BB104" s="5">
        <v>252000</v>
      </c>
      <c r="BC104" s="5">
        <v>29</v>
      </c>
      <c r="BD104" s="5">
        <v>30</v>
      </c>
      <c r="BE104" s="5">
        <v>5.9</v>
      </c>
      <c r="BF104" s="48">
        <v>6.3709794147215382</v>
      </c>
      <c r="BG104" s="48">
        <v>7.524181163127114</v>
      </c>
      <c r="BH104" s="48">
        <v>7.1671301483087211</v>
      </c>
      <c r="BJ104" s="5">
        <v>24</v>
      </c>
    </row>
    <row r="105" spans="1:62" ht="14.4" x14ac:dyDescent="0.3">
      <c r="A105" s="5">
        <v>17</v>
      </c>
      <c r="B105" s="46">
        <v>45405</v>
      </c>
      <c r="C105" s="5">
        <v>252000</v>
      </c>
      <c r="D105" s="5">
        <v>26</v>
      </c>
      <c r="E105" s="5">
        <v>29</v>
      </c>
      <c r="F105" s="5">
        <v>5.8</v>
      </c>
      <c r="G105" s="5">
        <v>5.6</v>
      </c>
      <c r="H105" s="5">
        <v>7.3</v>
      </c>
      <c r="I105" s="48">
        <v>7.6707653860698448</v>
      </c>
      <c r="K105" s="5">
        <v>24</v>
      </c>
      <c r="L105" s="41"/>
      <c r="P105" s="5" t="s">
        <v>144</v>
      </c>
      <c r="Q105" s="5">
        <v>1</v>
      </c>
      <c r="R105" s="41">
        <v>2</v>
      </c>
      <c r="S105" s="5">
        <v>3</v>
      </c>
      <c r="T105" s="5">
        <v>4</v>
      </c>
      <c r="U105" s="41">
        <v>5</v>
      </c>
      <c r="V105" s="41">
        <v>6</v>
      </c>
      <c r="W105" s="5">
        <v>7</v>
      </c>
      <c r="X105" s="41" t="s">
        <v>146</v>
      </c>
      <c r="Z105" s="59"/>
      <c r="AZ105" s="5">
        <v>17</v>
      </c>
      <c r="BA105" s="46">
        <v>45405</v>
      </c>
      <c r="BB105" s="5">
        <v>252000</v>
      </c>
      <c r="BC105" s="5">
        <v>26</v>
      </c>
      <c r="BD105" s="5">
        <v>32</v>
      </c>
      <c r="BE105" s="5">
        <v>6.9</v>
      </c>
      <c r="BF105" s="48">
        <v>6.4559717502308187</v>
      </c>
      <c r="BG105" s="48">
        <v>7.188977822467697</v>
      </c>
      <c r="BH105" s="48">
        <v>7.1953837095559416</v>
      </c>
      <c r="BJ105" s="5">
        <v>15</v>
      </c>
    </row>
    <row r="106" spans="1:62" ht="14.4" x14ac:dyDescent="0.3">
      <c r="A106" s="5">
        <v>18</v>
      </c>
      <c r="B106" s="46">
        <v>45406</v>
      </c>
      <c r="C106" s="5">
        <v>252000</v>
      </c>
      <c r="D106" s="5">
        <v>26</v>
      </c>
      <c r="E106" s="5">
        <v>29</v>
      </c>
      <c r="F106" s="5">
        <v>6.1</v>
      </c>
      <c r="G106" s="5">
        <v>5.5</v>
      </c>
      <c r="H106" s="5">
        <v>7.6</v>
      </c>
      <c r="I106" s="48">
        <v>7.7037344173843003</v>
      </c>
      <c r="K106" s="5">
        <v>18</v>
      </c>
      <c r="L106" s="41"/>
      <c r="O106" s="5" t="s">
        <v>119</v>
      </c>
      <c r="P106" s="5">
        <v>15</v>
      </c>
      <c r="Q106" s="36">
        <f>AVERAGE(K53:K59)</f>
        <v>19.428571428571427</v>
      </c>
      <c r="R106" s="36">
        <f>AVERAGE(K60:K66)</f>
        <v>19.714285714285715</v>
      </c>
      <c r="S106" s="36">
        <f>AVERAGE(K67:K73)</f>
        <v>19.857142857142858</v>
      </c>
      <c r="T106" s="36">
        <f>AVERAGE(K74:K80)</f>
        <v>21.142857142857142</v>
      </c>
      <c r="U106" s="36">
        <f>AVERAGE(K81:K87)</f>
        <v>19.714285714285715</v>
      </c>
      <c r="V106" s="65">
        <f>AVERAGE(K5:K11)</f>
        <v>21.571428571428573</v>
      </c>
      <c r="W106" s="36">
        <f>AVERAGE(K12:K18)</f>
        <v>21</v>
      </c>
      <c r="X106" s="41">
        <v>25</v>
      </c>
      <c r="Z106" s="59"/>
      <c r="AZ106" s="5">
        <v>18</v>
      </c>
      <c r="BA106" s="46">
        <v>45406</v>
      </c>
      <c r="BB106" s="5">
        <v>252000</v>
      </c>
      <c r="BC106" s="5">
        <v>29</v>
      </c>
      <c r="BD106" s="5">
        <v>32</v>
      </c>
      <c r="BE106" s="5">
        <v>6.8</v>
      </c>
      <c r="BF106" s="48">
        <v>7.0437517542746226</v>
      </c>
      <c r="BG106" s="48">
        <v>7.368742630548204</v>
      </c>
      <c r="BH106" s="48">
        <v>7.7115295678930229</v>
      </c>
      <c r="BJ106" s="5">
        <v>24</v>
      </c>
    </row>
    <row r="107" spans="1:62" ht="14.4" x14ac:dyDescent="0.3">
      <c r="A107" s="5">
        <v>19</v>
      </c>
      <c r="B107" s="46">
        <v>45407</v>
      </c>
      <c r="C107" s="5">
        <v>252000</v>
      </c>
      <c r="D107" s="5">
        <v>26</v>
      </c>
      <c r="E107" s="5">
        <v>32</v>
      </c>
      <c r="F107" s="5">
        <v>6.5</v>
      </c>
      <c r="G107" s="5">
        <v>6.9</v>
      </c>
      <c r="H107" s="5">
        <v>7.4</v>
      </c>
      <c r="I107" s="48">
        <v>7.211174530002447</v>
      </c>
      <c r="K107" s="5">
        <v>18</v>
      </c>
      <c r="L107" s="41"/>
      <c r="O107" s="5" t="s">
        <v>120</v>
      </c>
      <c r="P107" s="5">
        <v>15</v>
      </c>
      <c r="Q107" s="36">
        <f>AVERAGE(U53:U59)</f>
        <v>22</v>
      </c>
      <c r="R107" s="36">
        <f>AVERAGE(U60:U66)</f>
        <v>21.428571428571427</v>
      </c>
      <c r="S107" s="36">
        <f>AVERAGE(U67:U73)</f>
        <v>19.857142857142858</v>
      </c>
      <c r="T107" s="36">
        <f>AVERAGE(U74:U80)</f>
        <v>20.428571428571427</v>
      </c>
      <c r="U107" s="36">
        <f>AVERAGE(U5:U11)</f>
        <v>22.714285714285715</v>
      </c>
      <c r="V107" s="65">
        <f>AVERAGE(U81:U87)</f>
        <v>21.428571428571427</v>
      </c>
      <c r="W107" s="5">
        <f>AVERAGE(U13:U19)</f>
        <v>23</v>
      </c>
      <c r="X107" s="41">
        <v>25</v>
      </c>
      <c r="Z107" s="59"/>
      <c r="AZ107" s="5">
        <v>19</v>
      </c>
      <c r="BA107" s="46">
        <v>45407</v>
      </c>
      <c r="BB107" s="5">
        <v>252000</v>
      </c>
      <c r="BC107" s="5">
        <v>29</v>
      </c>
      <c r="BD107" s="5">
        <v>29</v>
      </c>
      <c r="BE107" s="5">
        <v>6</v>
      </c>
      <c r="BF107" s="48">
        <v>5.7369090591188669</v>
      </c>
      <c r="BG107" s="48">
        <v>7.5781862576207049</v>
      </c>
      <c r="BH107" s="48">
        <v>7.7468419728790563</v>
      </c>
      <c r="BJ107" s="5">
        <v>22</v>
      </c>
    </row>
    <row r="108" spans="1:62" x14ac:dyDescent="0.25">
      <c r="A108" s="5">
        <v>20</v>
      </c>
      <c r="B108" s="46">
        <v>45408</v>
      </c>
      <c r="C108" s="5">
        <v>252000</v>
      </c>
      <c r="D108" s="5">
        <v>27</v>
      </c>
      <c r="E108" s="5">
        <v>30</v>
      </c>
      <c r="F108" s="5">
        <v>6.7</v>
      </c>
      <c r="G108" s="5">
        <v>6.3</v>
      </c>
      <c r="H108" s="5">
        <v>7.3</v>
      </c>
      <c r="I108" s="48">
        <v>7.4095666571949721</v>
      </c>
      <c r="K108" s="5">
        <v>18</v>
      </c>
      <c r="L108" s="41"/>
      <c r="O108" s="5" t="s">
        <v>121</v>
      </c>
      <c r="P108" s="5">
        <v>15</v>
      </c>
      <c r="Q108" s="36">
        <f>AVERAGE(AE53:AE59)</f>
        <v>20.142857142857142</v>
      </c>
      <c r="R108" s="36">
        <f>AVERAGE(AE61:AE67)</f>
        <v>18.571428571428573</v>
      </c>
      <c r="S108" s="36">
        <f>AVERAGE(AE68:AE74)</f>
        <v>20.428571428571427</v>
      </c>
      <c r="T108" s="36">
        <f>AVERAGE(AE75:AE81)</f>
        <v>21.428571428571427</v>
      </c>
      <c r="U108" s="36">
        <f>AVERAGE(AE82:AE87)</f>
        <v>19.333333333333332</v>
      </c>
      <c r="V108" s="65">
        <f>AVERAGE(AE5:AE11)</f>
        <v>21.142857142857142</v>
      </c>
      <c r="W108" s="5">
        <f>AVERAGE(AE13:AE19)</f>
        <v>22</v>
      </c>
      <c r="X108" s="41">
        <v>25</v>
      </c>
      <c r="AZ108" s="5">
        <v>20</v>
      </c>
      <c r="BA108" s="46">
        <v>45408</v>
      </c>
      <c r="BB108" s="5">
        <v>252000</v>
      </c>
      <c r="BC108" s="5">
        <v>27</v>
      </c>
      <c r="BD108" s="5">
        <v>31</v>
      </c>
      <c r="BE108" s="5">
        <v>5.9</v>
      </c>
      <c r="BF108" s="48">
        <v>7.1810696395639955</v>
      </c>
      <c r="BG108" s="48">
        <v>7.7307310616857592</v>
      </c>
      <c r="BH108" s="48">
        <v>7.4875251015839623</v>
      </c>
      <c r="BJ108" s="5">
        <v>20</v>
      </c>
    </row>
    <row r="109" spans="1:62" x14ac:dyDescent="0.25">
      <c r="A109" s="5">
        <v>21</v>
      </c>
      <c r="B109" s="46">
        <v>45409</v>
      </c>
      <c r="C109" s="5">
        <v>252000</v>
      </c>
      <c r="D109" s="5">
        <v>28</v>
      </c>
      <c r="E109" s="5">
        <v>29</v>
      </c>
      <c r="F109" s="5">
        <v>6.9</v>
      </c>
      <c r="G109" s="5">
        <v>5.7</v>
      </c>
      <c r="H109" s="5">
        <v>7.1</v>
      </c>
      <c r="I109" s="48">
        <v>7.7878399629513053</v>
      </c>
      <c r="K109" s="5">
        <v>19</v>
      </c>
      <c r="L109" s="41"/>
      <c r="O109" s="5" t="s">
        <v>122</v>
      </c>
      <c r="P109" s="5">
        <v>15</v>
      </c>
      <c r="Q109" s="36">
        <f>AVERAGE(K56:K62)</f>
        <v>20.428571428571427</v>
      </c>
      <c r="R109" s="36">
        <f>AVERAGE(K63:K69)</f>
        <v>19.714285714285715</v>
      </c>
      <c r="S109" s="36">
        <f>AVERAGE(K70:K76)</f>
        <v>19.857142857142858</v>
      </c>
      <c r="T109" s="36">
        <f>AVERAGE(K77:K83)</f>
        <v>21.428571428571427</v>
      </c>
      <c r="U109" s="36">
        <f>AVERAGE(K84:K90)</f>
        <v>19.166666666666668</v>
      </c>
      <c r="V109" s="65">
        <f>AVERAGE(K8:K14)</f>
        <v>21.285714285714285</v>
      </c>
      <c r="W109" s="36">
        <f>AVERAGE(K15:K21)</f>
        <v>20.5</v>
      </c>
      <c r="X109" s="41">
        <v>25</v>
      </c>
      <c r="AZ109" s="5">
        <v>21</v>
      </c>
      <c r="BA109" s="46">
        <v>45409</v>
      </c>
      <c r="BB109" s="5">
        <v>252000</v>
      </c>
      <c r="BC109" s="5">
        <v>26</v>
      </c>
      <c r="BD109" s="5">
        <v>31</v>
      </c>
      <c r="BE109" s="5">
        <v>7</v>
      </c>
      <c r="BF109" s="48">
        <v>6.4622372013272509</v>
      </c>
      <c r="BG109" s="48">
        <v>7.2385387083001334</v>
      </c>
      <c r="BH109" s="48">
        <v>7.4012570067933927</v>
      </c>
      <c r="BJ109" s="5">
        <v>23</v>
      </c>
    </row>
    <row r="110" spans="1:62" x14ac:dyDescent="0.25">
      <c r="A110" s="5">
        <v>22</v>
      </c>
      <c r="B110" s="46">
        <v>45410</v>
      </c>
      <c r="C110" s="5">
        <v>252000</v>
      </c>
      <c r="D110" s="5">
        <v>26</v>
      </c>
      <c r="E110" s="5">
        <v>30</v>
      </c>
      <c r="F110" s="5">
        <v>6.5</v>
      </c>
      <c r="G110" s="5">
        <v>5.5</v>
      </c>
      <c r="H110" s="5">
        <v>7.2</v>
      </c>
      <c r="I110" s="48">
        <v>7.2193674318168899</v>
      </c>
      <c r="K110" s="5">
        <v>21</v>
      </c>
      <c r="L110" s="41"/>
      <c r="O110" s="5" t="s">
        <v>123</v>
      </c>
      <c r="P110" s="5">
        <v>15</v>
      </c>
      <c r="Q110" s="36">
        <f>AVERAGE(U56:U62)</f>
        <v>23.142857142857142</v>
      </c>
      <c r="R110" s="36">
        <f>AVERAGE(U63:U69)</f>
        <v>20.571428571428573</v>
      </c>
      <c r="S110" s="36">
        <f>AVERAGE(U70:U76)</f>
        <v>19.714285714285715</v>
      </c>
      <c r="T110" s="36">
        <f>AVERAGE(U77:U83)</f>
        <v>21.142857142857142</v>
      </c>
      <c r="U110" s="36">
        <f>AVERAGE(U8:U14)</f>
        <v>22</v>
      </c>
      <c r="V110" s="65">
        <f>AVERAGE(U84:U90)</f>
        <v>20</v>
      </c>
      <c r="W110" s="36">
        <f>AVERAGE(U16:U22)</f>
        <v>22.8</v>
      </c>
      <c r="X110" s="41">
        <v>25</v>
      </c>
      <c r="AZ110" s="5">
        <v>22</v>
      </c>
      <c r="BA110" s="46">
        <v>45410</v>
      </c>
      <c r="BB110" s="5">
        <v>252000</v>
      </c>
      <c r="BC110" s="5">
        <v>26</v>
      </c>
      <c r="BD110" s="5">
        <v>32</v>
      </c>
      <c r="BE110" s="5">
        <v>5.7</v>
      </c>
      <c r="BF110" s="48">
        <v>6.2030304824226468</v>
      </c>
      <c r="BG110" s="48">
        <v>7.377568459855004</v>
      </c>
      <c r="BH110" s="48">
        <v>7.4111882952193255</v>
      </c>
      <c r="BJ110" s="5">
        <v>25</v>
      </c>
    </row>
    <row r="111" spans="1:62" x14ac:dyDescent="0.25">
      <c r="A111" s="5">
        <v>23</v>
      </c>
      <c r="B111" s="46">
        <v>45411</v>
      </c>
      <c r="C111" s="5">
        <v>252000</v>
      </c>
      <c r="D111" s="5">
        <v>29</v>
      </c>
      <c r="E111" s="5">
        <v>29</v>
      </c>
      <c r="F111" s="5">
        <v>6.5</v>
      </c>
      <c r="G111" s="5">
        <v>5.5</v>
      </c>
      <c r="H111" s="5">
        <v>7.3</v>
      </c>
      <c r="I111" s="48">
        <v>7.692888758319234</v>
      </c>
      <c r="K111" s="5">
        <v>23</v>
      </c>
      <c r="L111" s="41"/>
      <c r="O111" s="5" t="s">
        <v>50</v>
      </c>
      <c r="P111" s="5">
        <v>15</v>
      </c>
      <c r="Q111" s="36">
        <f>AVERAGE(AE56:AE62)</f>
        <v>19.428571428571427</v>
      </c>
      <c r="R111" s="36">
        <f>AVERAGE(AE64:AE70)</f>
        <v>19.714285714285715</v>
      </c>
      <c r="S111" s="36">
        <f>AVERAGE(AE71:AE77)</f>
        <v>19.571428571428573</v>
      </c>
      <c r="T111" s="36">
        <f>AVERAGE(AE78:AE84)</f>
        <v>20.142857142857142</v>
      </c>
      <c r="U111" s="36">
        <f>AVERAGE(AE85:AE89)</f>
        <v>21</v>
      </c>
      <c r="V111" s="65">
        <f>AVERAGE(AE8:AE14)</f>
        <v>21.285714285714285</v>
      </c>
      <c r="W111" s="36">
        <f>AVERAGE(AE16:AE22)</f>
        <v>22.6</v>
      </c>
      <c r="X111" s="41">
        <v>25</v>
      </c>
      <c r="AZ111" s="5">
        <v>23</v>
      </c>
      <c r="BA111" s="46">
        <v>45411</v>
      </c>
      <c r="BB111" s="5">
        <v>252000</v>
      </c>
      <c r="BC111" s="5">
        <v>27</v>
      </c>
      <c r="BD111" s="5">
        <v>30</v>
      </c>
      <c r="BE111" s="5">
        <v>6.6</v>
      </c>
      <c r="BF111" s="48">
        <v>6.9684695751318229</v>
      </c>
      <c r="BG111" s="48">
        <v>7.4787611541331387</v>
      </c>
      <c r="BH111" s="48">
        <v>7.2695470901569141</v>
      </c>
      <c r="BJ111" s="5">
        <v>19</v>
      </c>
    </row>
    <row r="112" spans="1:62" ht="14.4" customHeight="1" x14ac:dyDescent="0.25">
      <c r="A112" s="5">
        <v>24</v>
      </c>
      <c r="B112" s="46">
        <v>45412</v>
      </c>
      <c r="C112" s="5">
        <v>252000</v>
      </c>
      <c r="D112" s="5">
        <v>29</v>
      </c>
      <c r="E112" s="5">
        <v>31</v>
      </c>
      <c r="F112" s="5">
        <v>6.6</v>
      </c>
      <c r="G112" s="5">
        <v>6.1</v>
      </c>
      <c r="H112" s="5">
        <v>7.1</v>
      </c>
      <c r="I112" s="48">
        <v>7.1739098505326471</v>
      </c>
      <c r="K112" s="5">
        <v>21</v>
      </c>
      <c r="L112" s="41"/>
      <c r="M112" s="49"/>
      <c r="O112" s="5" t="s">
        <v>49</v>
      </c>
      <c r="P112" s="5">
        <v>15</v>
      </c>
      <c r="Q112" s="36">
        <f>AVERAGE(K59:K65)</f>
        <v>19.714285714285715</v>
      </c>
      <c r="R112" s="36">
        <f>AVERAGE(K66:K72)</f>
        <v>19</v>
      </c>
      <c r="S112" s="36">
        <f>AVERAGE(K73:K79)</f>
        <v>21.285714285714285</v>
      </c>
      <c r="T112" s="36">
        <f>AVERAGE(K80:K86)</f>
        <v>19.428571428571427</v>
      </c>
      <c r="U112" s="36">
        <f>AVERAGE(K87:K93)</f>
        <v>22.5</v>
      </c>
      <c r="V112" s="65">
        <f>AVERAGE(K11:K17)</f>
        <v>21.428571428571427</v>
      </c>
      <c r="W112" s="36">
        <f>AVERAGE(K18:K24)</f>
        <v>19.333333333333332</v>
      </c>
      <c r="X112" s="41">
        <v>25</v>
      </c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5">
        <v>24</v>
      </c>
      <c r="BA112" s="46">
        <v>45412</v>
      </c>
      <c r="BB112" s="5">
        <v>252000</v>
      </c>
      <c r="BC112" s="5">
        <v>29</v>
      </c>
      <c r="BD112" s="5">
        <v>29</v>
      </c>
      <c r="BE112" s="5">
        <v>6.5</v>
      </c>
      <c r="BF112" s="48">
        <v>6.586514278918469</v>
      </c>
      <c r="BG112" s="48">
        <v>7.7596075134363289</v>
      </c>
      <c r="BH112" s="48">
        <v>7.1864895349238918</v>
      </c>
      <c r="BJ112" s="5">
        <v>24</v>
      </c>
    </row>
    <row r="113" spans="1:62" ht="14.4" customHeight="1" x14ac:dyDescent="0.25">
      <c r="A113" s="5">
        <v>25</v>
      </c>
      <c r="B113" s="46">
        <v>45413</v>
      </c>
      <c r="C113" s="5">
        <v>252000</v>
      </c>
      <c r="D113" s="5">
        <v>27</v>
      </c>
      <c r="E113" s="5">
        <v>30</v>
      </c>
      <c r="F113" s="5">
        <v>5.8</v>
      </c>
      <c r="G113" s="5">
        <v>6.8</v>
      </c>
      <c r="H113" s="5">
        <v>7.2</v>
      </c>
      <c r="I113" s="48">
        <v>7.7539042412750083</v>
      </c>
      <c r="K113" s="5">
        <v>18</v>
      </c>
      <c r="L113" s="41"/>
      <c r="M113" s="49"/>
      <c r="O113" s="5" t="s">
        <v>48</v>
      </c>
      <c r="P113" s="5">
        <v>15</v>
      </c>
      <c r="Q113" s="36">
        <f>AVERAGE(U59:U65)</f>
        <v>21.857142857142858</v>
      </c>
      <c r="R113" s="36">
        <f>AVERAGE(U66:U72)</f>
        <v>20.285714285714285</v>
      </c>
      <c r="S113" s="36">
        <f>AVERAGE(U73:U79)</f>
        <v>20.857142857142858</v>
      </c>
      <c r="T113" s="36">
        <f>AVERAGE(U80:U86)</f>
        <v>20.142857142857142</v>
      </c>
      <c r="U113" s="36">
        <f>AVERAGE(U11:U17)</f>
        <v>23.142857142857142</v>
      </c>
      <c r="V113" s="65">
        <f>AVERAGE(U87:U93)</f>
        <v>21.666666666666668</v>
      </c>
      <c r="W113" s="5">
        <f>AVERAGE(U19:U25)</f>
        <v>21</v>
      </c>
      <c r="X113" s="41">
        <v>25</v>
      </c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5">
        <v>25</v>
      </c>
      <c r="BA113" s="46">
        <v>45413</v>
      </c>
      <c r="BB113" s="5">
        <v>252000</v>
      </c>
      <c r="BC113" s="5">
        <v>26</v>
      </c>
      <c r="BD113" s="5">
        <v>31</v>
      </c>
      <c r="BE113" s="5">
        <v>7.1</v>
      </c>
      <c r="BF113" s="48">
        <v>6.6132487642693274</v>
      </c>
      <c r="BG113" s="48">
        <v>7.4868306501069029</v>
      </c>
      <c r="BH113" s="48">
        <v>7.4299675313174092</v>
      </c>
      <c r="BJ113" s="5">
        <v>17</v>
      </c>
    </row>
    <row r="114" spans="1:62" ht="14.4" customHeight="1" x14ac:dyDescent="0.25">
      <c r="A114" s="5">
        <v>26</v>
      </c>
      <c r="B114" s="46">
        <v>45414</v>
      </c>
      <c r="C114" s="5">
        <v>252000</v>
      </c>
      <c r="D114" s="5">
        <v>26</v>
      </c>
      <c r="E114" s="5">
        <v>32</v>
      </c>
      <c r="F114" s="5">
        <v>6.6</v>
      </c>
      <c r="G114" s="5">
        <v>5.6</v>
      </c>
      <c r="H114" s="5">
        <v>7.3</v>
      </c>
      <c r="I114" s="48">
        <v>7.3845621784249689</v>
      </c>
      <c r="K114" s="5">
        <v>21</v>
      </c>
      <c r="L114" s="41"/>
      <c r="M114" s="49"/>
      <c r="O114" s="5" t="s">
        <v>47</v>
      </c>
      <c r="P114" s="5">
        <v>15</v>
      </c>
      <c r="Q114" s="36">
        <f>AVERAGE(AE59:AE65)</f>
        <v>18</v>
      </c>
      <c r="R114" s="36">
        <f>AVERAGE(AE67:AE73)</f>
        <v>20.428571428571427</v>
      </c>
      <c r="S114" s="36">
        <f>AVERAGE(AE74:AE80)</f>
        <v>21.142857142857142</v>
      </c>
      <c r="T114" s="36">
        <f>AVERAGE(AE81:AE87)</f>
        <v>20.142857142857142</v>
      </c>
      <c r="U114" s="36">
        <f>AVERAGE(CN5:CN11)</f>
        <v>21.571428571428573</v>
      </c>
      <c r="V114" s="65">
        <f>AVERAGE(AE11:AE17)</f>
        <v>21.571428571428573</v>
      </c>
      <c r="W114" s="5">
        <f>AVERAGE(AE19:AE25)</f>
        <v>22</v>
      </c>
      <c r="X114" s="41">
        <v>25</v>
      </c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5">
        <v>26</v>
      </c>
      <c r="BA114" s="46">
        <v>45414</v>
      </c>
      <c r="BB114" s="5">
        <v>252000</v>
      </c>
      <c r="BC114" s="5">
        <v>29</v>
      </c>
      <c r="BD114" s="5">
        <v>31</v>
      </c>
      <c r="BE114" s="5">
        <v>6</v>
      </c>
      <c r="BF114" s="48">
        <v>6.5702250451423669</v>
      </c>
      <c r="BG114" s="48">
        <v>7.3901273997489092</v>
      </c>
      <c r="BH114" s="48">
        <v>7.2308727970720383</v>
      </c>
      <c r="BJ114" s="5">
        <v>25</v>
      </c>
    </row>
    <row r="115" spans="1:62" ht="14.4" customHeight="1" x14ac:dyDescent="0.25">
      <c r="A115" s="5">
        <v>27</v>
      </c>
      <c r="B115" s="46">
        <v>45415</v>
      </c>
      <c r="C115" s="5">
        <v>252000</v>
      </c>
      <c r="D115" s="5">
        <v>28</v>
      </c>
      <c r="E115" s="5">
        <v>30</v>
      </c>
      <c r="F115" s="5">
        <v>6.2</v>
      </c>
      <c r="G115" s="5">
        <v>6.1</v>
      </c>
      <c r="H115" s="5">
        <v>7.2</v>
      </c>
      <c r="I115" s="48">
        <v>7.3703037522163566</v>
      </c>
      <c r="K115" s="5">
        <v>23</v>
      </c>
      <c r="L115" s="41"/>
      <c r="M115" s="49"/>
      <c r="O115" s="5" t="s">
        <v>46</v>
      </c>
      <c r="P115" s="5">
        <v>15</v>
      </c>
      <c r="Q115" s="36">
        <f>AVERAGE(K62:K68)</f>
        <v>19.285714285714285</v>
      </c>
      <c r="R115" s="36">
        <f>AVERAGE(K69:K75)</f>
        <v>20.714285714285715</v>
      </c>
      <c r="S115" s="36">
        <f>AVERAGE(K76:K82)</f>
        <v>21.285714285714285</v>
      </c>
      <c r="T115" s="36">
        <f>AVERAGE(K83:K89)</f>
        <v>18.666666666666668</v>
      </c>
      <c r="U115" s="36">
        <f>AVERAGE(K90:K96)</f>
        <v>23</v>
      </c>
      <c r="V115" s="65">
        <f>AVERAGE(K14:K20)</f>
        <v>20.714285714285715</v>
      </c>
      <c r="W115" s="36">
        <f>AVERAGE(CX14:CX20)</f>
        <v>22.571428571428573</v>
      </c>
      <c r="X115" s="41">
        <v>25</v>
      </c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5">
        <v>27</v>
      </c>
      <c r="BA115" s="46">
        <v>45415</v>
      </c>
      <c r="BB115" s="5">
        <v>252000</v>
      </c>
      <c r="BC115" s="5">
        <v>28</v>
      </c>
      <c r="BD115" s="5">
        <v>30</v>
      </c>
      <c r="BE115" s="5">
        <v>6.6</v>
      </c>
      <c r="BF115" s="48">
        <v>6.4108636095344087</v>
      </c>
      <c r="BG115" s="48">
        <v>7.2234121122788686</v>
      </c>
      <c r="BH115" s="48">
        <v>7.5414189199683932</v>
      </c>
      <c r="BJ115" s="5">
        <v>25</v>
      </c>
    </row>
    <row r="116" spans="1:62" ht="14.4" customHeight="1" x14ac:dyDescent="0.25">
      <c r="A116" s="5">
        <v>28</v>
      </c>
      <c r="B116" s="46">
        <v>45416</v>
      </c>
      <c r="C116" s="5">
        <v>252000</v>
      </c>
      <c r="D116" s="5">
        <v>27</v>
      </c>
      <c r="E116" s="5">
        <v>32</v>
      </c>
      <c r="F116" s="5">
        <v>6.1</v>
      </c>
      <c r="G116" s="5">
        <v>7</v>
      </c>
      <c r="H116" s="5">
        <v>7.5</v>
      </c>
      <c r="I116" s="48">
        <v>7.4202662517464599</v>
      </c>
      <c r="K116" s="5">
        <v>16</v>
      </c>
      <c r="L116" s="41"/>
      <c r="M116" s="49"/>
      <c r="P116" s="49"/>
      <c r="Q116" s="41"/>
      <c r="S116" s="41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5">
        <v>28</v>
      </c>
      <c r="BA116" s="46">
        <v>45416</v>
      </c>
      <c r="BB116" s="5">
        <v>252000</v>
      </c>
      <c r="BC116" s="5">
        <v>27</v>
      </c>
      <c r="BD116" s="5">
        <v>29</v>
      </c>
      <c r="BE116" s="5">
        <v>6.6</v>
      </c>
      <c r="BF116" s="48">
        <v>6.2443523043349884</v>
      </c>
      <c r="BG116" s="48">
        <v>7.7947622481271015</v>
      </c>
      <c r="BH116" s="48">
        <v>7.1721773978772152</v>
      </c>
      <c r="BJ116" s="5">
        <v>19</v>
      </c>
    </row>
    <row r="117" spans="1:62" ht="14.4" customHeight="1" x14ac:dyDescent="0.25">
      <c r="A117" s="5">
        <v>29</v>
      </c>
      <c r="B117" s="46">
        <v>45417</v>
      </c>
      <c r="C117" s="5">
        <v>252000</v>
      </c>
      <c r="D117" s="5">
        <v>26</v>
      </c>
      <c r="E117" s="5">
        <v>32</v>
      </c>
      <c r="F117" s="5">
        <v>5.5</v>
      </c>
      <c r="G117" s="5">
        <v>5.5</v>
      </c>
      <c r="H117" s="5">
        <v>7.3</v>
      </c>
      <c r="I117" s="48">
        <v>7.3526715368605275</v>
      </c>
      <c r="J117" s="5">
        <v>0.04</v>
      </c>
      <c r="K117" s="5">
        <v>24</v>
      </c>
      <c r="L117" s="41"/>
      <c r="M117" s="49"/>
      <c r="P117" s="49"/>
      <c r="Q117" s="41"/>
      <c r="S117" s="41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5">
        <v>29</v>
      </c>
      <c r="BA117" s="46">
        <v>45417</v>
      </c>
      <c r="BB117" s="5">
        <v>252000</v>
      </c>
      <c r="BC117" s="5">
        <v>29</v>
      </c>
      <c r="BD117" s="5">
        <v>30</v>
      </c>
      <c r="BE117" s="5">
        <v>6.4</v>
      </c>
      <c r="BF117" s="48">
        <v>5.7655789024837141</v>
      </c>
      <c r="BG117" s="48">
        <v>7.5525337035985656</v>
      </c>
      <c r="BH117" s="48">
        <v>7.6552792325920471</v>
      </c>
      <c r="BI117" s="5">
        <v>0.06</v>
      </c>
      <c r="BJ117" s="5">
        <v>15</v>
      </c>
    </row>
    <row r="118" spans="1:62" ht="14.4" customHeight="1" x14ac:dyDescent="0.25">
      <c r="A118" s="5">
        <v>30</v>
      </c>
      <c r="B118" s="46">
        <v>45418</v>
      </c>
      <c r="C118" s="5">
        <v>252000</v>
      </c>
      <c r="D118" s="5">
        <v>27</v>
      </c>
      <c r="E118" s="5">
        <v>30</v>
      </c>
      <c r="F118" s="5">
        <v>6.6</v>
      </c>
      <c r="G118" s="5">
        <v>6.3</v>
      </c>
      <c r="H118" s="5">
        <v>7.1</v>
      </c>
      <c r="I118" s="48">
        <v>7.3031013322713285</v>
      </c>
      <c r="K118" s="5">
        <v>24</v>
      </c>
      <c r="L118" s="41"/>
      <c r="M118" s="49"/>
      <c r="P118" s="49"/>
      <c r="Q118" s="41"/>
      <c r="S118" s="41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5">
        <v>30</v>
      </c>
      <c r="BA118" s="46">
        <v>45418</v>
      </c>
      <c r="BB118" s="5">
        <v>252000</v>
      </c>
      <c r="BC118" s="5">
        <v>28</v>
      </c>
      <c r="BD118" s="5">
        <v>30</v>
      </c>
      <c r="BE118" s="5">
        <v>6.9</v>
      </c>
      <c r="BF118" s="48">
        <v>5.5837925079820723</v>
      </c>
      <c r="BG118" s="48">
        <v>7.1071699861237079</v>
      </c>
      <c r="BH118" s="48">
        <v>7.1567627093515238</v>
      </c>
      <c r="BJ118" s="5">
        <v>17</v>
      </c>
    </row>
    <row r="119" spans="1:62" ht="14.4" customHeight="1" x14ac:dyDescent="0.25">
      <c r="A119" s="5">
        <v>31</v>
      </c>
      <c r="B119" s="46">
        <v>45419</v>
      </c>
      <c r="C119" s="5">
        <v>252000</v>
      </c>
      <c r="D119" s="5">
        <v>26</v>
      </c>
      <c r="E119" s="5">
        <v>29</v>
      </c>
      <c r="F119" s="5">
        <v>6</v>
      </c>
      <c r="G119" s="5">
        <v>5.9</v>
      </c>
      <c r="H119" s="5">
        <v>7.1</v>
      </c>
      <c r="I119" s="48">
        <v>7.5185209690289181</v>
      </c>
      <c r="K119" s="5">
        <v>22</v>
      </c>
      <c r="L119" s="41"/>
      <c r="M119" s="49"/>
      <c r="P119" s="49"/>
      <c r="Q119" s="41"/>
      <c r="S119" s="41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5">
        <v>31</v>
      </c>
      <c r="BA119" s="46">
        <v>45419</v>
      </c>
      <c r="BB119" s="5">
        <v>252000</v>
      </c>
      <c r="BC119" s="5">
        <v>26</v>
      </c>
      <c r="BD119" s="5">
        <v>30</v>
      </c>
      <c r="BE119" s="5">
        <v>6.8</v>
      </c>
      <c r="BF119" s="48">
        <v>6.0246432333307505</v>
      </c>
      <c r="BG119" s="48">
        <v>7.1868846455798234</v>
      </c>
      <c r="BH119" s="48">
        <v>7.7719815147609363</v>
      </c>
      <c r="BJ119" s="5">
        <v>18</v>
      </c>
    </row>
    <row r="120" spans="1:62" ht="14.4" customHeight="1" x14ac:dyDescent="0.25">
      <c r="A120" s="5">
        <v>32</v>
      </c>
      <c r="B120" s="46">
        <v>45420</v>
      </c>
      <c r="C120" s="5">
        <v>252000</v>
      </c>
      <c r="D120" s="5">
        <v>27</v>
      </c>
      <c r="E120" s="5">
        <v>29</v>
      </c>
      <c r="F120" s="5">
        <v>6.1</v>
      </c>
      <c r="G120" s="5">
        <v>6.5</v>
      </c>
      <c r="H120" s="5">
        <v>7.7</v>
      </c>
      <c r="I120" s="48">
        <v>7.1139136735520676</v>
      </c>
      <c r="K120" s="5">
        <v>22</v>
      </c>
      <c r="L120" s="41"/>
      <c r="M120" s="49"/>
      <c r="P120" s="49"/>
      <c r="Q120" s="41"/>
      <c r="S120" s="41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5">
        <v>32</v>
      </c>
      <c r="BA120" s="46">
        <v>45420</v>
      </c>
      <c r="BB120" s="5">
        <v>252000</v>
      </c>
      <c r="BC120" s="5">
        <v>27</v>
      </c>
      <c r="BD120" s="5">
        <v>31</v>
      </c>
      <c r="BE120" s="5">
        <v>6.2</v>
      </c>
      <c r="BF120" s="48">
        <v>5.9664882017178149</v>
      </c>
      <c r="BG120" s="48">
        <v>7.5624822815722341</v>
      </c>
      <c r="BH120" s="48">
        <v>7.7965020814068744</v>
      </c>
      <c r="BJ120" s="5">
        <v>23</v>
      </c>
    </row>
    <row r="121" spans="1:62" ht="14.4" customHeight="1" x14ac:dyDescent="0.25">
      <c r="A121" s="5">
        <v>33</v>
      </c>
      <c r="B121" s="46">
        <v>45421</v>
      </c>
      <c r="C121" s="5">
        <v>252000</v>
      </c>
      <c r="D121" s="5">
        <v>27</v>
      </c>
      <c r="E121" s="5">
        <v>30</v>
      </c>
      <c r="F121" s="5">
        <v>6.7</v>
      </c>
      <c r="G121" s="5">
        <v>6.4</v>
      </c>
      <c r="H121" s="5">
        <v>7.7</v>
      </c>
      <c r="I121" s="48">
        <v>7.4344977794755929</v>
      </c>
      <c r="K121" s="5">
        <v>17</v>
      </c>
      <c r="L121" s="41"/>
      <c r="M121" s="49"/>
      <c r="P121" s="49"/>
      <c r="Q121" s="41"/>
      <c r="S121" s="41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5">
        <v>33</v>
      </c>
      <c r="BA121" s="46">
        <v>45421</v>
      </c>
      <c r="BB121" s="5">
        <v>252000</v>
      </c>
      <c r="BC121" s="5">
        <v>28</v>
      </c>
      <c r="BD121" s="5">
        <v>32</v>
      </c>
      <c r="BE121" s="5">
        <v>6.6</v>
      </c>
      <c r="BF121" s="48">
        <v>5.5970023179182338</v>
      </c>
      <c r="BG121" s="48">
        <v>7.7500057823959425</v>
      </c>
      <c r="BH121" s="48">
        <v>7.7203563382624631</v>
      </c>
      <c r="BJ121" s="5">
        <v>18</v>
      </c>
    </row>
    <row r="122" spans="1:62" ht="14.4" customHeight="1" x14ac:dyDescent="0.25">
      <c r="A122" s="5">
        <v>34</v>
      </c>
      <c r="B122" s="46">
        <v>45422</v>
      </c>
      <c r="C122" s="5">
        <v>252000</v>
      </c>
      <c r="D122" s="5">
        <v>28</v>
      </c>
      <c r="E122" s="5">
        <v>29</v>
      </c>
      <c r="F122" s="5">
        <v>6.6</v>
      </c>
      <c r="G122" s="5">
        <v>7</v>
      </c>
      <c r="H122" s="5">
        <v>7.4</v>
      </c>
      <c r="I122" s="48">
        <v>7.2394912945076761</v>
      </c>
      <c r="K122" s="5">
        <v>16</v>
      </c>
      <c r="L122" s="41"/>
      <c r="M122" s="49"/>
      <c r="P122" s="49"/>
      <c r="Q122" s="41"/>
      <c r="S122" s="41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5">
        <v>34</v>
      </c>
      <c r="BA122" s="46">
        <v>45422</v>
      </c>
      <c r="BB122" s="5">
        <v>252000</v>
      </c>
      <c r="BC122" s="5">
        <v>28</v>
      </c>
      <c r="BD122" s="5">
        <v>31</v>
      </c>
      <c r="BE122" s="5">
        <v>6.9</v>
      </c>
      <c r="BF122" s="48">
        <v>6.5987224715195376</v>
      </c>
      <c r="BG122" s="48">
        <v>7.7950103697918882</v>
      </c>
      <c r="BH122" s="48">
        <v>7.7599100060188224</v>
      </c>
      <c r="BJ122" s="5">
        <v>24</v>
      </c>
    </row>
    <row r="123" spans="1:62" ht="14.4" customHeight="1" x14ac:dyDescent="0.25">
      <c r="A123" s="5">
        <v>35</v>
      </c>
      <c r="B123" s="46">
        <v>45423</v>
      </c>
      <c r="C123" s="5">
        <v>252000</v>
      </c>
      <c r="D123" s="5">
        <v>27</v>
      </c>
      <c r="E123" s="5">
        <v>30</v>
      </c>
      <c r="F123" s="5">
        <v>5.7</v>
      </c>
      <c r="G123" s="5">
        <v>6.3</v>
      </c>
      <c r="H123" s="5">
        <v>7.1</v>
      </c>
      <c r="I123" s="48">
        <v>7.71187776984846</v>
      </c>
      <c r="K123" s="5">
        <v>25</v>
      </c>
      <c r="L123" s="41"/>
      <c r="M123" s="49"/>
      <c r="P123" s="49"/>
      <c r="Q123" s="41"/>
      <c r="S123" s="41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5">
        <v>35</v>
      </c>
      <c r="BA123" s="46">
        <v>45423</v>
      </c>
      <c r="BB123" s="5">
        <v>252000</v>
      </c>
      <c r="BC123" s="5">
        <v>26</v>
      </c>
      <c r="BD123" s="5">
        <v>32</v>
      </c>
      <c r="BE123" s="5">
        <v>6.1</v>
      </c>
      <c r="BF123" s="48">
        <v>5.5645743134668741</v>
      </c>
      <c r="BG123" s="48">
        <v>7.5485800960399301</v>
      </c>
      <c r="BH123" s="48">
        <v>7.4294744669727812</v>
      </c>
      <c r="BJ123" s="5">
        <v>18</v>
      </c>
    </row>
    <row r="124" spans="1:62" ht="14.4" customHeight="1" x14ac:dyDescent="0.25">
      <c r="A124" s="132" t="s">
        <v>121</v>
      </c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41"/>
      <c r="M124" s="49"/>
      <c r="P124" s="49"/>
      <c r="Q124" s="41"/>
      <c r="S124" s="41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101"/>
      <c r="BC124" s="101"/>
      <c r="BD124" s="101"/>
      <c r="BE124" s="101"/>
      <c r="BF124" s="101"/>
      <c r="BG124" s="101"/>
      <c r="BH124" s="101"/>
      <c r="BI124" s="101"/>
      <c r="BJ124" s="101"/>
    </row>
    <row r="125" spans="1:62" ht="14.4" customHeight="1" x14ac:dyDescent="0.25">
      <c r="A125" s="5">
        <v>1</v>
      </c>
      <c r="B125" s="46">
        <v>45389</v>
      </c>
      <c r="C125" s="5">
        <v>252000</v>
      </c>
      <c r="D125" s="5">
        <v>26</v>
      </c>
      <c r="E125" s="5">
        <v>31</v>
      </c>
      <c r="F125" s="5">
        <v>5.8</v>
      </c>
      <c r="G125" s="48">
        <v>6.3208991163743065</v>
      </c>
      <c r="H125" s="48">
        <v>7.5391089190300491</v>
      </c>
      <c r="I125" s="48">
        <v>7.3120783436175572</v>
      </c>
      <c r="J125" s="5">
        <v>0.02</v>
      </c>
      <c r="K125" s="5">
        <v>20</v>
      </c>
      <c r="L125" s="41"/>
      <c r="M125" s="49"/>
      <c r="P125" s="49"/>
      <c r="Q125" s="41"/>
      <c r="S125" s="41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5">
        <v>1</v>
      </c>
      <c r="BA125" s="46">
        <v>45389</v>
      </c>
      <c r="BB125" s="5">
        <v>252000</v>
      </c>
      <c r="BC125" s="5">
        <v>27</v>
      </c>
      <c r="BD125" s="5">
        <v>29</v>
      </c>
      <c r="BE125" s="5">
        <v>6.2</v>
      </c>
      <c r="BF125" s="48">
        <v>5.7238541906799583</v>
      </c>
      <c r="BG125" s="48">
        <v>7.2762011827270641</v>
      </c>
      <c r="BH125" s="48">
        <v>7.7348716447731114</v>
      </c>
      <c r="BI125" s="5">
        <v>0.05</v>
      </c>
      <c r="BJ125" s="5">
        <v>20</v>
      </c>
    </row>
    <row r="126" spans="1:62" ht="14.4" customHeight="1" x14ac:dyDescent="0.25">
      <c r="A126" s="5">
        <v>2</v>
      </c>
      <c r="B126" s="46">
        <v>45390</v>
      </c>
      <c r="C126" s="5">
        <v>252000</v>
      </c>
      <c r="D126" s="5">
        <v>26</v>
      </c>
      <c r="E126" s="5">
        <v>31</v>
      </c>
      <c r="F126" s="5">
        <v>6.9</v>
      </c>
      <c r="G126" s="48">
        <v>7.0208883435104346</v>
      </c>
      <c r="H126" s="48">
        <v>7.1003723668453906</v>
      </c>
      <c r="I126" s="48">
        <v>7.3513850096416675</v>
      </c>
      <c r="K126" s="5">
        <v>24</v>
      </c>
      <c r="L126" s="41"/>
      <c r="M126" s="49"/>
      <c r="P126" s="49"/>
      <c r="Q126" s="41"/>
      <c r="S126" s="41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5">
        <v>2</v>
      </c>
      <c r="BA126" s="46">
        <v>45390</v>
      </c>
      <c r="BB126" s="5">
        <v>252000</v>
      </c>
      <c r="BC126" s="5">
        <v>27</v>
      </c>
      <c r="BD126" s="5">
        <v>29</v>
      </c>
      <c r="BE126" s="5">
        <v>6.6</v>
      </c>
      <c r="BF126" s="48">
        <v>6.9324867453620236</v>
      </c>
      <c r="BG126" s="48">
        <v>7.6081770515666136</v>
      </c>
      <c r="BH126" s="48">
        <v>7.5257682569818893</v>
      </c>
      <c r="BJ126" s="5">
        <v>25</v>
      </c>
    </row>
    <row r="127" spans="1:62" ht="14.4" customHeight="1" x14ac:dyDescent="0.25">
      <c r="A127" s="5">
        <v>3</v>
      </c>
      <c r="B127" s="46">
        <v>45391</v>
      </c>
      <c r="C127" s="5">
        <v>252000</v>
      </c>
      <c r="D127" s="5">
        <v>27</v>
      </c>
      <c r="E127" s="5">
        <v>32</v>
      </c>
      <c r="F127" s="5">
        <v>6.7</v>
      </c>
      <c r="G127" s="48">
        <v>6.4898134123524915</v>
      </c>
      <c r="H127" s="48">
        <v>7.3951902246285348</v>
      </c>
      <c r="I127" s="48">
        <v>7.1837556460138297</v>
      </c>
      <c r="K127" s="5">
        <v>19</v>
      </c>
      <c r="L127" s="41"/>
      <c r="M127" s="49"/>
      <c r="P127" s="49"/>
      <c r="Q127" s="41"/>
      <c r="S127" s="41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5">
        <v>3</v>
      </c>
      <c r="BA127" s="46">
        <v>45391</v>
      </c>
      <c r="BB127" s="5">
        <v>252000</v>
      </c>
      <c r="BC127" s="5">
        <v>29</v>
      </c>
      <c r="BD127" s="5">
        <v>29</v>
      </c>
      <c r="BE127" s="5">
        <v>5.7</v>
      </c>
      <c r="BF127" s="48">
        <v>6.7073783734615597</v>
      </c>
      <c r="BG127" s="48">
        <v>7.1933119246762907</v>
      </c>
      <c r="BH127" s="48">
        <v>7.4764707853806547</v>
      </c>
      <c r="BJ127" s="5">
        <v>22</v>
      </c>
    </row>
    <row r="128" spans="1:62" ht="14.4" customHeight="1" x14ac:dyDescent="0.25">
      <c r="A128" s="5">
        <v>4</v>
      </c>
      <c r="B128" s="46">
        <v>45392</v>
      </c>
      <c r="C128" s="5">
        <v>252000</v>
      </c>
      <c r="D128" s="5">
        <v>26</v>
      </c>
      <c r="E128" s="5">
        <v>32</v>
      </c>
      <c r="F128" s="5">
        <v>6</v>
      </c>
      <c r="G128" s="48">
        <v>5.8228677575420029</v>
      </c>
      <c r="H128" s="48">
        <v>7.3565511183166681</v>
      </c>
      <c r="I128" s="48">
        <v>7.5349404974894991</v>
      </c>
      <c r="K128" s="5">
        <v>18</v>
      </c>
      <c r="L128" s="41"/>
      <c r="M128" s="49"/>
      <c r="P128" s="49"/>
      <c r="Q128" s="41"/>
      <c r="S128" s="41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5">
        <v>4</v>
      </c>
      <c r="BA128" s="46">
        <v>45392</v>
      </c>
      <c r="BB128" s="5">
        <v>252000</v>
      </c>
      <c r="BC128" s="5">
        <v>29</v>
      </c>
      <c r="BD128" s="5">
        <v>32</v>
      </c>
      <c r="BE128" s="5">
        <v>6.8</v>
      </c>
      <c r="BF128" s="48">
        <v>6.5039100067986588</v>
      </c>
      <c r="BG128" s="48">
        <v>7.5801430462534736</v>
      </c>
      <c r="BH128" s="48">
        <v>7.3598634847496411</v>
      </c>
      <c r="BJ128" s="5">
        <v>22</v>
      </c>
    </row>
    <row r="129" spans="1:62" ht="14.4" customHeight="1" x14ac:dyDescent="0.25">
      <c r="A129" s="5">
        <v>5</v>
      </c>
      <c r="B129" s="46">
        <v>45393</v>
      </c>
      <c r="C129" s="5">
        <v>252000</v>
      </c>
      <c r="D129" s="5">
        <v>28</v>
      </c>
      <c r="E129" s="5">
        <v>30</v>
      </c>
      <c r="F129" s="5">
        <v>5.9</v>
      </c>
      <c r="G129" s="48">
        <v>5.8053297566858362</v>
      </c>
      <c r="H129" s="48">
        <v>7.5508837971270317</v>
      </c>
      <c r="I129" s="48">
        <v>7.4388229562559713</v>
      </c>
      <c r="K129" s="5">
        <v>20</v>
      </c>
      <c r="L129" s="41"/>
      <c r="M129" s="49"/>
      <c r="P129" s="49"/>
      <c r="Q129" s="41"/>
      <c r="S129" s="41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5">
        <v>5</v>
      </c>
      <c r="BA129" s="46">
        <v>45393</v>
      </c>
      <c r="BB129" s="5">
        <v>252000</v>
      </c>
      <c r="BC129" s="5">
        <v>27</v>
      </c>
      <c r="BD129" s="5">
        <v>30</v>
      </c>
      <c r="BE129" s="5">
        <v>5.7</v>
      </c>
      <c r="BF129" s="48">
        <v>5.7939791652301249</v>
      </c>
      <c r="BG129" s="48">
        <v>7.6651034585369535</v>
      </c>
      <c r="BH129" s="48">
        <v>7.7756720981238434</v>
      </c>
      <c r="BJ129" s="5">
        <v>18</v>
      </c>
    </row>
    <row r="130" spans="1:62" ht="14.4" customHeight="1" x14ac:dyDescent="0.25">
      <c r="A130" s="5">
        <v>6</v>
      </c>
      <c r="B130" s="46">
        <v>45394</v>
      </c>
      <c r="C130" s="5">
        <v>252000</v>
      </c>
      <c r="D130" s="5">
        <v>29</v>
      </c>
      <c r="E130" s="5">
        <v>31</v>
      </c>
      <c r="F130" s="5">
        <v>6.7</v>
      </c>
      <c r="G130" s="48">
        <v>6.4100182709038291</v>
      </c>
      <c r="H130" s="48">
        <v>7.4848093940783924</v>
      </c>
      <c r="I130" s="48">
        <v>7.7073635601596298</v>
      </c>
      <c r="K130" s="5">
        <v>22</v>
      </c>
      <c r="L130" s="41"/>
      <c r="M130" s="49"/>
      <c r="P130" s="49"/>
      <c r="Q130" s="41"/>
      <c r="S130" s="41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5">
        <v>6</v>
      </c>
      <c r="BA130" s="46">
        <v>45394</v>
      </c>
      <c r="BB130" s="5">
        <v>252000</v>
      </c>
      <c r="BC130" s="5">
        <v>26</v>
      </c>
      <c r="BD130" s="5">
        <v>30</v>
      </c>
      <c r="BE130" s="5">
        <v>6.9</v>
      </c>
      <c r="BF130" s="48">
        <v>6.2620090358209728</v>
      </c>
      <c r="BG130" s="48">
        <v>7.1223794725551102</v>
      </c>
      <c r="BH130" s="48">
        <v>7.2870058143195573</v>
      </c>
      <c r="BJ130" s="5">
        <v>24</v>
      </c>
    </row>
    <row r="131" spans="1:62" ht="14.4" customHeight="1" x14ac:dyDescent="0.25">
      <c r="A131" s="5">
        <v>7</v>
      </c>
      <c r="B131" s="46">
        <v>45395</v>
      </c>
      <c r="C131" s="5">
        <v>252000</v>
      </c>
      <c r="D131" s="5">
        <v>26</v>
      </c>
      <c r="E131" s="5">
        <v>31</v>
      </c>
      <c r="F131" s="5">
        <v>5.5</v>
      </c>
      <c r="G131" s="48">
        <v>6.8352783817437386</v>
      </c>
      <c r="H131" s="48">
        <v>7.3771065537588276</v>
      </c>
      <c r="I131" s="48">
        <v>7.1277869963704505</v>
      </c>
      <c r="K131" s="5">
        <v>18</v>
      </c>
      <c r="L131" s="41"/>
      <c r="M131" s="49"/>
      <c r="P131" s="49"/>
      <c r="Q131" s="41"/>
      <c r="S131" s="41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5">
        <v>7</v>
      </c>
      <c r="BA131" s="46">
        <v>45395</v>
      </c>
      <c r="BB131" s="5">
        <v>252000</v>
      </c>
      <c r="BC131" s="5">
        <v>27</v>
      </c>
      <c r="BD131" s="5">
        <v>29</v>
      </c>
      <c r="BE131" s="5">
        <v>7.1</v>
      </c>
      <c r="BF131" s="48">
        <v>6.2953492441157817</v>
      </c>
      <c r="BG131" s="48">
        <v>7.3843426416828919</v>
      </c>
      <c r="BH131" s="48">
        <v>7.2219509276331184</v>
      </c>
      <c r="BJ131" s="5">
        <v>23</v>
      </c>
    </row>
    <row r="132" spans="1:62" ht="14.4" customHeight="1" x14ac:dyDescent="0.25">
      <c r="A132" s="5">
        <v>8</v>
      </c>
      <c r="B132" s="46">
        <v>45396</v>
      </c>
      <c r="C132" s="5">
        <v>252000</v>
      </c>
      <c r="D132" s="5">
        <v>27</v>
      </c>
      <c r="E132" s="5">
        <v>29</v>
      </c>
      <c r="F132" s="5">
        <v>6.2</v>
      </c>
      <c r="G132" s="48">
        <v>6.6174028671317737</v>
      </c>
      <c r="H132" s="48">
        <v>7.5985137530083975</v>
      </c>
      <c r="I132" s="48">
        <v>7.789966162481635</v>
      </c>
      <c r="K132" s="5">
        <v>18</v>
      </c>
      <c r="L132" s="41"/>
      <c r="M132" s="49"/>
      <c r="P132" s="49"/>
      <c r="Q132" s="41"/>
      <c r="S132" s="41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5">
        <v>8</v>
      </c>
      <c r="BA132" s="46">
        <v>45396</v>
      </c>
      <c r="BB132" s="5">
        <v>252000</v>
      </c>
      <c r="BC132" s="5">
        <v>28</v>
      </c>
      <c r="BD132" s="5">
        <v>30</v>
      </c>
      <c r="BE132" s="5">
        <v>5.7</v>
      </c>
      <c r="BF132" s="48">
        <v>7.1165898444067253</v>
      </c>
      <c r="BG132" s="48">
        <v>7.1107723568767636</v>
      </c>
      <c r="BH132" s="48">
        <v>7.2663258272496467</v>
      </c>
      <c r="BJ132" s="5">
        <v>20</v>
      </c>
    </row>
    <row r="133" spans="1:62" ht="14.4" customHeight="1" x14ac:dyDescent="0.25">
      <c r="A133" s="5">
        <v>9</v>
      </c>
      <c r="B133" s="46">
        <v>45397</v>
      </c>
      <c r="C133" s="5">
        <v>252000</v>
      </c>
      <c r="D133" s="5">
        <v>26</v>
      </c>
      <c r="E133" s="5">
        <v>30</v>
      </c>
      <c r="F133" s="5">
        <v>7.1</v>
      </c>
      <c r="G133" s="48">
        <v>5.8217746371366896</v>
      </c>
      <c r="H133" s="48">
        <v>7.7837629046202084</v>
      </c>
      <c r="I133" s="48">
        <v>7.7663345812106348</v>
      </c>
      <c r="K133" s="5">
        <v>25</v>
      </c>
      <c r="L133" s="41"/>
      <c r="M133" s="49"/>
      <c r="P133" s="49"/>
      <c r="Q133" s="41"/>
      <c r="S133" s="41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5">
        <v>9</v>
      </c>
      <c r="BA133" s="46">
        <v>45397</v>
      </c>
      <c r="BB133" s="5">
        <v>252000</v>
      </c>
      <c r="BC133" s="5">
        <v>27</v>
      </c>
      <c r="BD133" s="5">
        <v>32</v>
      </c>
      <c r="BE133" s="5">
        <v>6.3</v>
      </c>
      <c r="BF133" s="48">
        <v>5.6615454113366894</v>
      </c>
      <c r="BG133" s="48">
        <v>7.7266869507251057</v>
      </c>
      <c r="BH133" s="48">
        <v>7.2304201573782922</v>
      </c>
      <c r="BJ133" s="5">
        <v>23</v>
      </c>
    </row>
    <row r="134" spans="1:62" ht="14.4" customHeight="1" x14ac:dyDescent="0.25">
      <c r="A134" s="5">
        <v>10</v>
      </c>
      <c r="B134" s="46">
        <v>45398</v>
      </c>
      <c r="C134" s="5">
        <v>252000</v>
      </c>
      <c r="D134" s="5">
        <v>29</v>
      </c>
      <c r="E134" s="5">
        <v>29</v>
      </c>
      <c r="F134" s="5">
        <v>6.4</v>
      </c>
      <c r="G134" s="48">
        <v>5.8483740998895133</v>
      </c>
      <c r="H134" s="48">
        <v>7.3124361794883095</v>
      </c>
      <c r="I134" s="48">
        <v>7.7280128566486797</v>
      </c>
      <c r="K134" s="5">
        <v>15</v>
      </c>
      <c r="L134" s="41"/>
      <c r="M134" s="49"/>
      <c r="P134" s="49"/>
      <c r="Q134" s="41"/>
      <c r="S134" s="41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5">
        <v>10</v>
      </c>
      <c r="BA134" s="46">
        <v>45398</v>
      </c>
      <c r="BB134" s="5">
        <v>252000</v>
      </c>
      <c r="BC134" s="5">
        <v>26</v>
      </c>
      <c r="BD134" s="5">
        <v>31</v>
      </c>
      <c r="BE134" s="5">
        <v>7.1</v>
      </c>
      <c r="BF134" s="48">
        <v>6.6619678756112739</v>
      </c>
      <c r="BG134" s="48">
        <v>7.3843509526852653</v>
      </c>
      <c r="BH134" s="48">
        <v>7.2550423846779815</v>
      </c>
      <c r="BJ134" s="5">
        <v>25</v>
      </c>
    </row>
    <row r="135" spans="1:62" ht="14.4" customHeight="1" x14ac:dyDescent="0.25">
      <c r="A135" s="5">
        <v>11</v>
      </c>
      <c r="B135" s="46">
        <v>45399</v>
      </c>
      <c r="C135" s="5">
        <v>252000</v>
      </c>
      <c r="D135" s="5">
        <v>28</v>
      </c>
      <c r="E135" s="5">
        <v>31</v>
      </c>
      <c r="F135" s="5">
        <v>6</v>
      </c>
      <c r="G135" s="48">
        <v>7.144381095891057</v>
      </c>
      <c r="H135" s="48">
        <v>7.5431807813241063</v>
      </c>
      <c r="I135" s="48">
        <v>7.1244727945971711</v>
      </c>
      <c r="K135" s="5">
        <v>20</v>
      </c>
      <c r="L135" s="41"/>
      <c r="M135" s="49"/>
      <c r="P135" s="49"/>
      <c r="Q135" s="41"/>
      <c r="S135" s="41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5">
        <v>11</v>
      </c>
      <c r="BA135" s="46">
        <v>45399</v>
      </c>
      <c r="BB135" s="5">
        <v>252000</v>
      </c>
      <c r="BC135" s="5">
        <v>26</v>
      </c>
      <c r="BD135" s="5">
        <v>31</v>
      </c>
      <c r="BE135" s="5">
        <v>6.1</v>
      </c>
      <c r="BF135" s="48">
        <v>6.4060930316697142</v>
      </c>
      <c r="BG135" s="48">
        <v>7.2961368192694627</v>
      </c>
      <c r="BH135" s="48">
        <v>7.1202248045613583</v>
      </c>
      <c r="BJ135" s="5">
        <v>15</v>
      </c>
    </row>
    <row r="136" spans="1:62" ht="14.4" customHeight="1" x14ac:dyDescent="0.25">
      <c r="A136" s="5">
        <v>12</v>
      </c>
      <c r="B136" s="46">
        <v>45400</v>
      </c>
      <c r="C136" s="5">
        <v>252000</v>
      </c>
      <c r="D136" s="5">
        <v>27</v>
      </c>
      <c r="E136" s="5">
        <v>32</v>
      </c>
      <c r="F136" s="5">
        <v>6.6</v>
      </c>
      <c r="G136" s="48">
        <v>5.8123205660681077</v>
      </c>
      <c r="H136" s="48">
        <v>7.4191885986671533</v>
      </c>
      <c r="I136" s="48">
        <v>7.3963088831023276</v>
      </c>
      <c r="K136" s="5">
        <v>15</v>
      </c>
      <c r="L136" s="41"/>
      <c r="M136" s="49"/>
      <c r="P136" s="49"/>
      <c r="Q136" s="41"/>
      <c r="S136" s="41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5">
        <v>12</v>
      </c>
      <c r="BA136" s="46">
        <v>45400</v>
      </c>
      <c r="BB136" s="5">
        <v>252000</v>
      </c>
      <c r="BC136" s="5">
        <v>26</v>
      </c>
      <c r="BD136" s="5">
        <v>32</v>
      </c>
      <c r="BE136" s="5">
        <v>7.1</v>
      </c>
      <c r="BF136" s="48">
        <v>6.7642276071654628</v>
      </c>
      <c r="BG136" s="48">
        <v>7.6300502914172821</v>
      </c>
      <c r="BH136" s="48">
        <v>7.5726219399310741</v>
      </c>
      <c r="BJ136" s="5">
        <v>18</v>
      </c>
    </row>
    <row r="137" spans="1:62" ht="14.4" customHeight="1" x14ac:dyDescent="0.25">
      <c r="A137" s="5">
        <v>13</v>
      </c>
      <c r="B137" s="46">
        <v>45401</v>
      </c>
      <c r="C137" s="5">
        <v>252000</v>
      </c>
      <c r="D137" s="5">
        <v>29</v>
      </c>
      <c r="E137" s="5">
        <v>31</v>
      </c>
      <c r="F137" s="5">
        <v>6.7</v>
      </c>
      <c r="G137" s="48">
        <v>6.1862171843974139</v>
      </c>
      <c r="H137" s="48">
        <v>7.410628059167367</v>
      </c>
      <c r="I137" s="48">
        <v>7.4493076725594998</v>
      </c>
      <c r="K137" s="5">
        <v>15</v>
      </c>
      <c r="L137" s="41"/>
      <c r="M137" s="49"/>
      <c r="P137" s="49"/>
      <c r="Q137" s="41"/>
      <c r="S137" s="41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5">
        <v>13</v>
      </c>
      <c r="BA137" s="46">
        <v>45401</v>
      </c>
      <c r="BB137" s="5">
        <v>252000</v>
      </c>
      <c r="BC137" s="5">
        <v>26</v>
      </c>
      <c r="BD137" s="5">
        <v>32</v>
      </c>
      <c r="BE137" s="5">
        <v>5.5</v>
      </c>
      <c r="BF137" s="48">
        <v>6.036076054213968</v>
      </c>
      <c r="BG137" s="48">
        <v>7.5895260503987272</v>
      </c>
      <c r="BH137" s="48">
        <v>7.3813795987225159</v>
      </c>
      <c r="BJ137" s="5">
        <v>17</v>
      </c>
    </row>
    <row r="138" spans="1:62" ht="14.4" customHeight="1" x14ac:dyDescent="0.25">
      <c r="A138" s="5">
        <v>14</v>
      </c>
      <c r="B138" s="46">
        <v>45402</v>
      </c>
      <c r="C138" s="5">
        <v>252000</v>
      </c>
      <c r="D138" s="5">
        <v>26</v>
      </c>
      <c r="E138" s="5">
        <v>29</v>
      </c>
      <c r="F138" s="5">
        <v>6</v>
      </c>
      <c r="G138" s="48">
        <v>5.7032136328171799</v>
      </c>
      <c r="H138" s="48">
        <v>7.3484759109812554</v>
      </c>
      <c r="I138" s="48">
        <v>7.7914631238739895</v>
      </c>
      <c r="K138" s="5">
        <v>17</v>
      </c>
      <c r="L138" s="41"/>
      <c r="M138" s="49"/>
      <c r="P138" s="49"/>
      <c r="Q138" s="41"/>
      <c r="S138" s="41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5">
        <v>14</v>
      </c>
      <c r="BA138" s="46">
        <v>45402</v>
      </c>
      <c r="BB138" s="5">
        <v>252000</v>
      </c>
      <c r="BC138" s="5">
        <v>29</v>
      </c>
      <c r="BD138" s="5">
        <v>32</v>
      </c>
      <c r="BE138" s="5">
        <v>6.4</v>
      </c>
      <c r="BF138" s="48">
        <v>6.4810624099360776</v>
      </c>
      <c r="BG138" s="48">
        <v>7.5606545262831473</v>
      </c>
      <c r="BH138" s="48">
        <v>7.5722139241902564</v>
      </c>
      <c r="BJ138" s="5">
        <v>23</v>
      </c>
    </row>
    <row r="139" spans="1:62" ht="14.4" customHeight="1" x14ac:dyDescent="0.25">
      <c r="A139" s="5">
        <v>15</v>
      </c>
      <c r="B139" s="46">
        <v>45403</v>
      </c>
      <c r="C139" s="5">
        <v>252000</v>
      </c>
      <c r="D139" s="5">
        <v>28</v>
      </c>
      <c r="E139" s="5">
        <v>29</v>
      </c>
      <c r="F139" s="5">
        <v>5.7</v>
      </c>
      <c r="G139" s="48">
        <v>6.792561080891482</v>
      </c>
      <c r="H139" s="48">
        <v>7.6369112666559857</v>
      </c>
      <c r="I139" s="48">
        <v>7.1412841192837231</v>
      </c>
      <c r="K139" s="5">
        <v>23</v>
      </c>
      <c r="L139" s="41"/>
      <c r="M139" s="49"/>
      <c r="P139" s="49"/>
      <c r="Q139" s="41"/>
      <c r="S139" s="41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5">
        <v>15</v>
      </c>
      <c r="BA139" s="46">
        <v>45403</v>
      </c>
      <c r="BB139" s="5">
        <v>252000</v>
      </c>
      <c r="BC139" s="5">
        <v>26</v>
      </c>
      <c r="BD139" s="5">
        <v>32</v>
      </c>
      <c r="BE139" s="5">
        <v>5.5</v>
      </c>
      <c r="BF139" s="48">
        <v>5.960861062121305</v>
      </c>
      <c r="BG139" s="48">
        <v>7.7825806997963998</v>
      </c>
      <c r="BH139" s="48">
        <v>7.2516131501576098</v>
      </c>
      <c r="BI139" s="5">
        <v>0.04</v>
      </c>
      <c r="BJ139" s="5">
        <v>24</v>
      </c>
    </row>
    <row r="140" spans="1:62" ht="14.4" customHeight="1" x14ac:dyDescent="0.25">
      <c r="A140" s="5">
        <v>16</v>
      </c>
      <c r="B140" s="46">
        <v>45404</v>
      </c>
      <c r="C140" s="5">
        <v>252000</v>
      </c>
      <c r="D140" s="5">
        <v>29</v>
      </c>
      <c r="E140" s="5">
        <v>31</v>
      </c>
      <c r="F140" s="5">
        <v>6.7</v>
      </c>
      <c r="G140" s="48">
        <v>6.1967967063910301</v>
      </c>
      <c r="H140" s="48">
        <v>7.7207695557280651</v>
      </c>
      <c r="I140" s="48">
        <v>7.3194893334787503</v>
      </c>
      <c r="J140" s="5">
        <v>0.03</v>
      </c>
      <c r="K140" s="5">
        <v>24</v>
      </c>
      <c r="L140" s="41"/>
      <c r="M140" s="49"/>
      <c r="P140" s="49"/>
      <c r="Q140" s="41"/>
      <c r="S140" s="41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5">
        <v>16</v>
      </c>
      <c r="BA140" s="46">
        <v>45404</v>
      </c>
      <c r="BB140" s="5">
        <v>252000</v>
      </c>
      <c r="BC140" s="5">
        <v>26</v>
      </c>
      <c r="BD140" s="5">
        <v>29</v>
      </c>
      <c r="BE140" s="5">
        <v>5.5</v>
      </c>
      <c r="BF140" s="48">
        <v>5.9819915952709017</v>
      </c>
      <c r="BG140" s="48">
        <v>7.2877777129771388</v>
      </c>
      <c r="BH140" s="48">
        <v>7.5058887488980037</v>
      </c>
      <c r="BJ140" s="5">
        <v>25</v>
      </c>
    </row>
    <row r="141" spans="1:62" ht="14.4" customHeight="1" x14ac:dyDescent="0.25">
      <c r="A141" s="5">
        <v>17</v>
      </c>
      <c r="B141" s="46">
        <v>45405</v>
      </c>
      <c r="C141" s="5">
        <v>252000</v>
      </c>
      <c r="D141" s="5">
        <v>28</v>
      </c>
      <c r="E141" s="5">
        <v>29</v>
      </c>
      <c r="F141" s="5">
        <v>6.5</v>
      </c>
      <c r="G141" s="48">
        <v>5.5868464763955545</v>
      </c>
      <c r="H141" s="48">
        <v>7.6535546681688063</v>
      </c>
      <c r="I141" s="48">
        <v>7.2912699315728879</v>
      </c>
      <c r="K141" s="5">
        <v>21</v>
      </c>
      <c r="L141" s="41"/>
      <c r="M141" s="49"/>
      <c r="P141" s="49"/>
      <c r="Q141" s="41"/>
      <c r="S141" s="41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5">
        <v>17</v>
      </c>
      <c r="BA141" s="46">
        <v>45405</v>
      </c>
      <c r="BB141" s="5">
        <v>252000</v>
      </c>
      <c r="BC141" s="5">
        <v>28</v>
      </c>
      <c r="BD141" s="5">
        <v>31</v>
      </c>
      <c r="BE141" s="5">
        <v>5.8</v>
      </c>
      <c r="BF141" s="48">
        <v>6.1437548549481535</v>
      </c>
      <c r="BG141" s="48">
        <v>7.3552122819178205</v>
      </c>
      <c r="BH141" s="48">
        <v>7.4611420571003872</v>
      </c>
      <c r="BJ141" s="5">
        <v>23</v>
      </c>
    </row>
    <row r="142" spans="1:62" ht="14.4" customHeight="1" x14ac:dyDescent="0.25">
      <c r="A142" s="5">
        <v>18</v>
      </c>
      <c r="B142" s="46">
        <v>45406</v>
      </c>
      <c r="C142" s="5">
        <v>252000</v>
      </c>
      <c r="D142" s="5">
        <v>29</v>
      </c>
      <c r="E142" s="5">
        <v>30</v>
      </c>
      <c r="F142" s="5">
        <v>6.1</v>
      </c>
      <c r="G142" s="48">
        <v>6.9154399731775129</v>
      </c>
      <c r="H142" s="48">
        <v>7.218258014999579</v>
      </c>
      <c r="I142" s="48">
        <v>7.4652768253758577</v>
      </c>
      <c r="K142" s="5">
        <v>23</v>
      </c>
      <c r="L142" s="41"/>
      <c r="M142" s="49"/>
      <c r="P142" s="49"/>
      <c r="Q142" s="41"/>
      <c r="S142" s="41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5">
        <v>18</v>
      </c>
      <c r="BA142" s="46">
        <v>45406</v>
      </c>
      <c r="BB142" s="5">
        <v>252000</v>
      </c>
      <c r="BC142" s="5">
        <v>27</v>
      </c>
      <c r="BD142" s="5">
        <v>29</v>
      </c>
      <c r="BE142" s="5">
        <v>6.1</v>
      </c>
      <c r="BF142" s="48">
        <v>6.0073347993758803</v>
      </c>
      <c r="BG142" s="48">
        <v>7.3507630914255051</v>
      </c>
      <c r="BH142" s="48">
        <v>7.2253962682887787</v>
      </c>
      <c r="BJ142" s="5">
        <v>21</v>
      </c>
    </row>
    <row r="143" spans="1:62" x14ac:dyDescent="0.25">
      <c r="A143" s="5">
        <v>19</v>
      </c>
      <c r="B143" s="46">
        <v>45407</v>
      </c>
      <c r="C143" s="5">
        <v>252000</v>
      </c>
      <c r="D143" s="5">
        <v>26</v>
      </c>
      <c r="E143" s="5">
        <v>30</v>
      </c>
      <c r="F143" s="5">
        <v>6.1</v>
      </c>
      <c r="G143" s="48">
        <v>5.7976946701777461</v>
      </c>
      <c r="H143" s="48">
        <v>7.5760946646812766</v>
      </c>
      <c r="I143" s="48">
        <v>7.4181970320253301</v>
      </c>
      <c r="K143" s="5">
        <v>20</v>
      </c>
      <c r="AZ143" s="5">
        <v>19</v>
      </c>
      <c r="BA143" s="46">
        <v>45407</v>
      </c>
      <c r="BB143" s="5">
        <v>252000</v>
      </c>
      <c r="BC143" s="5">
        <v>27</v>
      </c>
      <c r="BD143" s="5">
        <v>32</v>
      </c>
      <c r="BE143" s="5">
        <v>6.7</v>
      </c>
      <c r="BF143" s="48">
        <v>6.2796552651351067</v>
      </c>
      <c r="BG143" s="48">
        <v>7.390363852107412</v>
      </c>
      <c r="BH143" s="48">
        <v>7.5815338602476086</v>
      </c>
      <c r="BJ143" s="5">
        <v>18</v>
      </c>
    </row>
    <row r="144" spans="1:62" x14ac:dyDescent="0.25">
      <c r="A144" s="5">
        <v>20</v>
      </c>
      <c r="B144" s="46">
        <v>45408</v>
      </c>
      <c r="C144" s="5">
        <v>252000</v>
      </c>
      <c r="D144" s="5">
        <v>28</v>
      </c>
      <c r="E144" s="5">
        <v>31</v>
      </c>
      <c r="F144" s="5">
        <v>5.9</v>
      </c>
      <c r="G144" s="48">
        <v>6.3656558976690452</v>
      </c>
      <c r="H144" s="48">
        <v>7.6236350977195473</v>
      </c>
      <c r="I144" s="48">
        <v>7.4712482946489303</v>
      </c>
      <c r="K144" s="5">
        <v>17</v>
      </c>
      <c r="AZ144" s="5">
        <v>20</v>
      </c>
      <c r="BA144" s="46">
        <v>45408</v>
      </c>
      <c r="BB144" s="5">
        <v>252000</v>
      </c>
      <c r="BC144" s="5">
        <v>29</v>
      </c>
      <c r="BD144" s="5">
        <v>30</v>
      </c>
      <c r="BE144" s="5">
        <v>6.1</v>
      </c>
      <c r="BF144" s="48">
        <v>6.5596133116255073</v>
      </c>
      <c r="BG144" s="48">
        <v>7.3414102965181831</v>
      </c>
      <c r="BH144" s="48">
        <v>7.4852114511007368</v>
      </c>
      <c r="BJ144" s="5">
        <v>23</v>
      </c>
    </row>
    <row r="145" spans="1:62" x14ac:dyDescent="0.25">
      <c r="A145" s="5">
        <v>21</v>
      </c>
      <c r="B145" s="46">
        <v>45409</v>
      </c>
      <c r="C145" s="5">
        <v>252000</v>
      </c>
      <c r="D145" s="5">
        <v>26</v>
      </c>
      <c r="E145" s="5">
        <v>32</v>
      </c>
      <c r="F145" s="5">
        <v>5.6</v>
      </c>
      <c r="G145" s="48">
        <v>6.0330667067668076</v>
      </c>
      <c r="H145" s="48">
        <v>7.4759469334268438</v>
      </c>
      <c r="I145" s="48">
        <v>7.4794473918003863</v>
      </c>
      <c r="K145" s="5">
        <v>15</v>
      </c>
      <c r="AZ145" s="5">
        <v>21</v>
      </c>
      <c r="BA145" s="46">
        <v>45409</v>
      </c>
      <c r="BB145" s="5">
        <v>252000</v>
      </c>
      <c r="BC145" s="5">
        <v>26</v>
      </c>
      <c r="BD145" s="5">
        <v>30</v>
      </c>
      <c r="BE145" s="5">
        <v>6</v>
      </c>
      <c r="BF145" s="48">
        <v>5.8652317928535798</v>
      </c>
      <c r="BG145" s="48">
        <v>7.1367905359672505</v>
      </c>
      <c r="BH145" s="48">
        <v>7.1799889197049493</v>
      </c>
      <c r="BJ145" s="5">
        <v>21</v>
      </c>
    </row>
    <row r="146" spans="1:62" x14ac:dyDescent="0.25">
      <c r="A146" s="5">
        <v>22</v>
      </c>
      <c r="B146" s="46">
        <v>45410</v>
      </c>
      <c r="C146" s="5">
        <v>252000</v>
      </c>
      <c r="D146" s="5">
        <v>27</v>
      </c>
      <c r="E146" s="5">
        <v>30</v>
      </c>
      <c r="F146" s="5">
        <v>6.6</v>
      </c>
      <c r="G146" s="48">
        <v>6.9753845354300417</v>
      </c>
      <c r="H146" s="48">
        <v>7.7327718123528042</v>
      </c>
      <c r="I146" s="48">
        <v>7.7786812754294754</v>
      </c>
      <c r="K146" s="5">
        <v>23</v>
      </c>
      <c r="AZ146" s="5">
        <v>22</v>
      </c>
      <c r="BA146" s="46">
        <v>45410</v>
      </c>
      <c r="BB146" s="5">
        <v>252000</v>
      </c>
      <c r="BC146" s="5">
        <v>28</v>
      </c>
      <c r="BD146" s="5">
        <v>32</v>
      </c>
      <c r="BE146" s="5">
        <v>5.7</v>
      </c>
      <c r="BF146" s="48">
        <v>6.9984396195140146</v>
      </c>
      <c r="BG146" s="48">
        <v>7.1446106111767529</v>
      </c>
      <c r="BH146" s="48">
        <v>7.7356568107086172</v>
      </c>
      <c r="BJ146" s="5">
        <v>19</v>
      </c>
    </row>
    <row r="147" spans="1:62" x14ac:dyDescent="0.25">
      <c r="A147" s="5">
        <v>23</v>
      </c>
      <c r="B147" s="46">
        <v>45411</v>
      </c>
      <c r="C147" s="5">
        <v>252000</v>
      </c>
      <c r="D147" s="5">
        <v>28</v>
      </c>
      <c r="E147" s="5">
        <v>31</v>
      </c>
      <c r="F147" s="5">
        <v>6.3</v>
      </c>
      <c r="G147" s="48">
        <v>7.0873038875548451</v>
      </c>
      <c r="H147" s="48">
        <v>7.3872456816146039</v>
      </c>
      <c r="I147" s="48">
        <v>7.1304826861531598</v>
      </c>
      <c r="K147" s="5">
        <v>21</v>
      </c>
      <c r="AZ147" s="5">
        <v>23</v>
      </c>
      <c r="BA147" s="46">
        <v>45411</v>
      </c>
      <c r="BB147" s="5">
        <v>252000</v>
      </c>
      <c r="BC147" s="5">
        <v>26</v>
      </c>
      <c r="BD147" s="5">
        <v>30</v>
      </c>
      <c r="BE147" s="5">
        <v>5.9</v>
      </c>
      <c r="BF147" s="48">
        <v>6.390810212811477</v>
      </c>
      <c r="BG147" s="48">
        <v>7.1964391914495032</v>
      </c>
      <c r="BH147" s="48">
        <v>7.2626432929947091</v>
      </c>
      <c r="BJ147" s="5">
        <v>16</v>
      </c>
    </row>
    <row r="148" spans="1:62" x14ac:dyDescent="0.25">
      <c r="A148" s="5">
        <v>24</v>
      </c>
      <c r="B148" s="46">
        <v>45412</v>
      </c>
      <c r="C148" s="5">
        <v>252000</v>
      </c>
      <c r="D148" s="5">
        <v>27</v>
      </c>
      <c r="E148" s="5">
        <v>31</v>
      </c>
      <c r="F148" s="5">
        <v>5.5</v>
      </c>
      <c r="G148" s="48">
        <v>5.6105346276765573</v>
      </c>
      <c r="H148" s="48">
        <v>7.2721020925637276</v>
      </c>
      <c r="I148" s="48">
        <v>7.6110754053336729</v>
      </c>
      <c r="K148" s="5">
        <v>24</v>
      </c>
      <c r="AZ148" s="5">
        <v>24</v>
      </c>
      <c r="BA148" s="46">
        <v>45412</v>
      </c>
      <c r="BB148" s="5">
        <v>252000</v>
      </c>
      <c r="BC148" s="5">
        <v>26</v>
      </c>
      <c r="BD148" s="5">
        <v>32</v>
      </c>
      <c r="BE148" s="5">
        <v>5.6</v>
      </c>
      <c r="BF148" s="48">
        <v>6.861861422199599</v>
      </c>
      <c r="BG148" s="48">
        <v>7.503547628654422</v>
      </c>
      <c r="BH148" s="48">
        <v>7.5545425438153089</v>
      </c>
      <c r="BJ148" s="5">
        <v>24</v>
      </c>
    </row>
    <row r="149" spans="1:62" x14ac:dyDescent="0.25">
      <c r="A149" s="5">
        <v>25</v>
      </c>
      <c r="B149" s="46">
        <v>45413</v>
      </c>
      <c r="C149" s="5">
        <v>252000</v>
      </c>
      <c r="D149" s="5">
        <v>28</v>
      </c>
      <c r="E149" s="5">
        <v>29</v>
      </c>
      <c r="F149" s="5">
        <v>6.6</v>
      </c>
      <c r="G149" s="48">
        <v>5.9513694458727739</v>
      </c>
      <c r="H149" s="48">
        <v>7.6804868086399551</v>
      </c>
      <c r="I149" s="48">
        <v>7.6084814822080382</v>
      </c>
      <c r="K149" s="5">
        <v>17</v>
      </c>
      <c r="AZ149" s="5">
        <v>25</v>
      </c>
      <c r="BA149" s="46">
        <v>45413</v>
      </c>
      <c r="BB149" s="5">
        <v>252000</v>
      </c>
      <c r="BC149" s="5">
        <v>29</v>
      </c>
      <c r="BD149" s="5">
        <v>32</v>
      </c>
      <c r="BE149" s="5">
        <v>6.6</v>
      </c>
      <c r="BF149" s="48">
        <v>5.9361424371712541</v>
      </c>
      <c r="BG149" s="48">
        <v>7.1402207073341675</v>
      </c>
      <c r="BH149" s="48">
        <v>7.562215095573257</v>
      </c>
      <c r="BJ149" s="5">
        <v>21</v>
      </c>
    </row>
    <row r="150" spans="1:62" x14ac:dyDescent="0.25">
      <c r="A150" s="5">
        <v>26</v>
      </c>
      <c r="B150" s="46">
        <v>45414</v>
      </c>
      <c r="C150" s="5">
        <v>252000</v>
      </c>
      <c r="D150" s="5">
        <v>26</v>
      </c>
      <c r="E150" s="5">
        <v>29</v>
      </c>
      <c r="F150" s="5">
        <v>6.6</v>
      </c>
      <c r="G150" s="48">
        <v>6.3576784878163366</v>
      </c>
      <c r="H150" s="48">
        <v>7.1127820101100854</v>
      </c>
      <c r="I150" s="48">
        <v>7.677813868954356</v>
      </c>
      <c r="K150" s="5">
        <v>24</v>
      </c>
      <c r="AZ150" s="5">
        <v>26</v>
      </c>
      <c r="BA150" s="46">
        <v>45414</v>
      </c>
      <c r="BB150" s="5">
        <v>252000</v>
      </c>
      <c r="BC150" s="5">
        <v>29</v>
      </c>
      <c r="BD150" s="5">
        <v>29</v>
      </c>
      <c r="BE150" s="5">
        <v>5.7</v>
      </c>
      <c r="BF150" s="48">
        <v>7.1038708459946065</v>
      </c>
      <c r="BG150" s="48">
        <v>7.4082689542195439</v>
      </c>
      <c r="BH150" s="48">
        <v>7.3282587142792384</v>
      </c>
      <c r="BJ150" s="5">
        <v>16</v>
      </c>
    </row>
    <row r="151" spans="1:62" x14ac:dyDescent="0.25">
      <c r="A151" s="5">
        <v>27</v>
      </c>
      <c r="B151" s="46">
        <v>45415</v>
      </c>
      <c r="C151" s="5">
        <v>252000</v>
      </c>
      <c r="D151" s="5">
        <v>26</v>
      </c>
      <c r="E151" s="5">
        <v>29</v>
      </c>
      <c r="F151" s="5">
        <v>5.5</v>
      </c>
      <c r="G151" s="48">
        <v>7.1980851362563927</v>
      </c>
      <c r="H151" s="48">
        <v>7.1706256838635261</v>
      </c>
      <c r="I151" s="48">
        <v>7.6887822185386101</v>
      </c>
      <c r="K151" s="5">
        <v>15</v>
      </c>
      <c r="AZ151" s="5">
        <v>27</v>
      </c>
      <c r="BA151" s="46">
        <v>45415</v>
      </c>
      <c r="BB151" s="5">
        <v>252000</v>
      </c>
      <c r="BC151" s="5">
        <v>29</v>
      </c>
      <c r="BD151" s="5">
        <v>32</v>
      </c>
      <c r="BE151" s="5">
        <v>6.9</v>
      </c>
      <c r="BF151" s="48">
        <v>6.8949267085097921</v>
      </c>
      <c r="BG151" s="48">
        <v>7.3657027543958637</v>
      </c>
      <c r="BH151" s="48">
        <v>7.144550246401363</v>
      </c>
      <c r="BJ151" s="5">
        <v>21</v>
      </c>
    </row>
    <row r="152" spans="1:62" x14ac:dyDescent="0.25">
      <c r="A152" s="5">
        <v>28</v>
      </c>
      <c r="B152" s="46">
        <v>45416</v>
      </c>
      <c r="C152" s="5">
        <v>252000</v>
      </c>
      <c r="D152" s="5">
        <v>27</v>
      </c>
      <c r="E152" s="5">
        <v>29</v>
      </c>
      <c r="F152" s="5">
        <v>5.7</v>
      </c>
      <c r="G152" s="48">
        <v>5.9514097900630798</v>
      </c>
      <c r="H152" s="48">
        <v>7.6256121916570745</v>
      </c>
      <c r="I152" s="48">
        <v>7.5910622161560735</v>
      </c>
      <c r="K152" s="5">
        <v>24</v>
      </c>
      <c r="AZ152" s="5">
        <v>28</v>
      </c>
      <c r="BA152" s="46">
        <v>45416</v>
      </c>
      <c r="BB152" s="5">
        <v>252000</v>
      </c>
      <c r="BC152" s="5">
        <v>27</v>
      </c>
      <c r="BD152" s="5">
        <v>32</v>
      </c>
      <c r="BE152" s="5">
        <v>5.6</v>
      </c>
      <c r="BF152" s="48">
        <v>5.7166060250629975</v>
      </c>
      <c r="BG152" s="48">
        <v>7.7834137390712588</v>
      </c>
      <c r="BH152" s="48">
        <v>7.6135966257302794</v>
      </c>
      <c r="BJ152" s="5">
        <v>19</v>
      </c>
    </row>
    <row r="153" spans="1:62" x14ac:dyDescent="0.25">
      <c r="A153" s="5">
        <v>29</v>
      </c>
      <c r="B153" s="46">
        <v>45417</v>
      </c>
      <c r="C153" s="5">
        <v>252000</v>
      </c>
      <c r="D153" s="5">
        <v>29</v>
      </c>
      <c r="E153" s="5">
        <v>29</v>
      </c>
      <c r="F153" s="5">
        <v>7</v>
      </c>
      <c r="G153" s="48">
        <v>5.8350578304755896</v>
      </c>
      <c r="H153" s="48">
        <v>7.3417911741840198</v>
      </c>
      <c r="I153" s="48">
        <v>7.6058369845020151</v>
      </c>
      <c r="J153" s="5">
        <v>7.0000000000000007E-2</v>
      </c>
      <c r="K153" s="5">
        <v>25</v>
      </c>
      <c r="AZ153" s="5">
        <v>29</v>
      </c>
      <c r="BA153" s="46">
        <v>45417</v>
      </c>
      <c r="BB153" s="5">
        <v>252000</v>
      </c>
      <c r="BC153" s="5">
        <v>27</v>
      </c>
      <c r="BD153" s="5">
        <v>30</v>
      </c>
      <c r="BE153" s="5">
        <v>5.9</v>
      </c>
      <c r="BF153" s="48">
        <v>5.8381843368463366</v>
      </c>
      <c r="BG153" s="48">
        <v>7.4389145259447975</v>
      </c>
      <c r="BH153" s="48">
        <v>7.2107238052605638</v>
      </c>
      <c r="BI153" s="5">
        <v>7.0000000000000007E-2</v>
      </c>
      <c r="BJ153" s="5">
        <v>22</v>
      </c>
    </row>
    <row r="154" spans="1:62" x14ac:dyDescent="0.25">
      <c r="A154" s="5">
        <v>30</v>
      </c>
      <c r="B154" s="46">
        <v>45418</v>
      </c>
      <c r="C154" s="5">
        <v>252000</v>
      </c>
      <c r="D154" s="5">
        <v>27</v>
      </c>
      <c r="E154" s="5">
        <v>31</v>
      </c>
      <c r="F154" s="5">
        <v>6.8</v>
      </c>
      <c r="G154" s="48">
        <v>7.151192199426216</v>
      </c>
      <c r="H154" s="48">
        <v>7.2172720137646866</v>
      </c>
      <c r="I154" s="48">
        <v>7.6076849943816756</v>
      </c>
      <c r="K154" s="5">
        <v>16</v>
      </c>
      <c r="AZ154" s="5">
        <v>30</v>
      </c>
      <c r="BA154" s="46">
        <v>45418</v>
      </c>
      <c r="BB154" s="5">
        <v>252000</v>
      </c>
      <c r="BC154" s="5">
        <v>27</v>
      </c>
      <c r="BD154" s="5">
        <v>29</v>
      </c>
      <c r="BE154" s="5">
        <v>6.3</v>
      </c>
      <c r="BF154" s="48">
        <v>5.9278813973638051</v>
      </c>
      <c r="BG154" s="48">
        <v>7.2980619442620931</v>
      </c>
      <c r="BH154" s="48">
        <v>7.422154484028523</v>
      </c>
      <c r="BJ154" s="5">
        <v>21</v>
      </c>
    </row>
    <row r="155" spans="1:62" x14ac:dyDescent="0.25">
      <c r="A155" s="5">
        <v>31</v>
      </c>
      <c r="B155" s="46">
        <v>45419</v>
      </c>
      <c r="C155" s="5">
        <v>252000</v>
      </c>
      <c r="D155" s="5">
        <v>29</v>
      </c>
      <c r="E155" s="5">
        <v>31</v>
      </c>
      <c r="F155" s="5">
        <v>6</v>
      </c>
      <c r="G155" s="48">
        <v>5.8155614284201498</v>
      </c>
      <c r="H155" s="48">
        <v>7.5480325829635779</v>
      </c>
      <c r="I155" s="48">
        <v>7.3347305430894858</v>
      </c>
      <c r="K155" s="5">
        <v>16</v>
      </c>
      <c r="AZ155" s="5">
        <v>31</v>
      </c>
      <c r="BA155" s="46">
        <v>45419</v>
      </c>
      <c r="BB155" s="5">
        <v>252000</v>
      </c>
      <c r="BC155" s="5">
        <v>26</v>
      </c>
      <c r="BD155" s="5">
        <v>29</v>
      </c>
      <c r="BE155" s="5">
        <v>7.1</v>
      </c>
      <c r="BF155" s="48">
        <v>7.0188495158844102</v>
      </c>
      <c r="BG155" s="48">
        <v>7.4653555032606924</v>
      </c>
      <c r="BH155" s="48">
        <v>7.6430679420594547</v>
      </c>
      <c r="BJ155" s="5">
        <v>15</v>
      </c>
    </row>
    <row r="156" spans="1:62" x14ac:dyDescent="0.25">
      <c r="A156" s="5">
        <v>32</v>
      </c>
      <c r="B156" s="46">
        <v>45420</v>
      </c>
      <c r="C156" s="5">
        <v>252000</v>
      </c>
      <c r="D156" s="5">
        <v>27</v>
      </c>
      <c r="E156" s="5">
        <v>30</v>
      </c>
      <c r="F156" s="5">
        <v>6</v>
      </c>
      <c r="G156" s="48">
        <v>6.3606086004696838</v>
      </c>
      <c r="H156" s="48">
        <v>7.4900493562650654</v>
      </c>
      <c r="I156" s="48">
        <v>7.718932388449887</v>
      </c>
      <c r="K156" s="5">
        <v>21</v>
      </c>
      <c r="AZ156" s="5">
        <v>32</v>
      </c>
      <c r="BA156" s="46">
        <v>45420</v>
      </c>
      <c r="BB156" s="5">
        <v>252000</v>
      </c>
      <c r="BC156" s="5">
        <v>28</v>
      </c>
      <c r="BD156" s="5">
        <v>30</v>
      </c>
      <c r="BE156" s="5">
        <v>5.8</v>
      </c>
      <c r="BF156" s="48">
        <v>6.1044078324534539</v>
      </c>
      <c r="BG156" s="48">
        <v>7.3857716759921157</v>
      </c>
      <c r="BH156" s="48">
        <v>7.206841484424257</v>
      </c>
      <c r="BJ156" s="5">
        <v>17</v>
      </c>
    </row>
    <row r="157" spans="1:62" x14ac:dyDescent="0.25">
      <c r="A157" s="5">
        <v>33</v>
      </c>
      <c r="B157" s="46">
        <v>45421</v>
      </c>
      <c r="C157" s="5">
        <v>252000</v>
      </c>
      <c r="D157" s="5">
        <v>27</v>
      </c>
      <c r="E157" s="5">
        <v>30</v>
      </c>
      <c r="F157" s="5">
        <v>7</v>
      </c>
      <c r="G157" s="48">
        <v>7.0434043127013615</v>
      </c>
      <c r="H157" s="48">
        <v>7.1761722357611131</v>
      </c>
      <c r="I157" s="48">
        <v>7.6554158619511838</v>
      </c>
      <c r="K157" s="5">
        <v>25</v>
      </c>
      <c r="AZ157" s="5">
        <v>33</v>
      </c>
      <c r="BA157" s="46">
        <v>45421</v>
      </c>
      <c r="BB157" s="5">
        <v>252000</v>
      </c>
      <c r="BC157" s="5">
        <v>26</v>
      </c>
      <c r="BD157" s="5">
        <v>29</v>
      </c>
      <c r="BE157" s="5">
        <v>5.6</v>
      </c>
      <c r="BF157" s="48">
        <v>6.0445051229806879</v>
      </c>
      <c r="BG157" s="48">
        <v>7.3610480464802786</v>
      </c>
      <c r="BH157" s="48">
        <v>7.3116892842216457</v>
      </c>
      <c r="BJ157" s="5">
        <v>20</v>
      </c>
    </row>
    <row r="158" spans="1:62" x14ac:dyDescent="0.25">
      <c r="A158" s="5">
        <v>34</v>
      </c>
      <c r="B158" s="46">
        <v>45422</v>
      </c>
      <c r="C158" s="5">
        <v>252000</v>
      </c>
      <c r="D158" s="5">
        <v>26</v>
      </c>
      <c r="E158" s="5">
        <v>32</v>
      </c>
      <c r="F158" s="5">
        <v>6.1</v>
      </c>
      <c r="G158" s="48">
        <v>6.4112617128056444</v>
      </c>
      <c r="H158" s="48">
        <v>7.5485078752078785</v>
      </c>
      <c r="I158" s="48">
        <v>7.1074587243451255</v>
      </c>
      <c r="K158" s="5">
        <v>17</v>
      </c>
      <c r="AZ158" s="5">
        <v>34</v>
      </c>
      <c r="BA158" s="46">
        <v>45422</v>
      </c>
      <c r="BB158" s="5">
        <v>252000</v>
      </c>
      <c r="BC158" s="5">
        <v>28</v>
      </c>
      <c r="BD158" s="5">
        <v>29</v>
      </c>
      <c r="BE158" s="5">
        <v>5.8</v>
      </c>
      <c r="BF158" s="48">
        <v>6.2955518159124306</v>
      </c>
      <c r="BG158" s="48">
        <v>7.3590473353023773</v>
      </c>
      <c r="BH158" s="48">
        <v>7.1705596460532934</v>
      </c>
      <c r="BJ158" s="5">
        <v>23</v>
      </c>
    </row>
    <row r="159" spans="1:62" x14ac:dyDescent="0.25">
      <c r="A159" s="5">
        <v>35</v>
      </c>
      <c r="B159" s="46">
        <v>45423</v>
      </c>
      <c r="C159" s="5">
        <v>252000</v>
      </c>
      <c r="D159" s="5">
        <v>26</v>
      </c>
      <c r="E159" s="5">
        <v>30</v>
      </c>
      <c r="F159" s="5">
        <v>5.8</v>
      </c>
      <c r="G159" s="48">
        <v>5.857314336041985</v>
      </c>
      <c r="H159" s="48">
        <v>7.3288491992334643</v>
      </c>
      <c r="I159" s="48">
        <v>7.5344763953623737</v>
      </c>
      <c r="K159" s="5">
        <v>21</v>
      </c>
      <c r="AZ159" s="5">
        <v>35</v>
      </c>
      <c r="BA159" s="46">
        <v>45423</v>
      </c>
      <c r="BB159" s="5">
        <v>252000</v>
      </c>
      <c r="BC159" s="5">
        <v>28</v>
      </c>
      <c r="BD159" s="5">
        <v>29</v>
      </c>
      <c r="BE159" s="5">
        <v>5.8</v>
      </c>
      <c r="BF159" s="48">
        <v>5.8462749267432077</v>
      </c>
      <c r="BG159" s="48">
        <v>7.489666624452564</v>
      </c>
      <c r="BH159" s="48">
        <v>7.6639235558906904</v>
      </c>
      <c r="BJ159" s="5">
        <v>17</v>
      </c>
    </row>
    <row r="160" spans="1:62" x14ac:dyDescent="0.25">
      <c r="A160" s="132" t="s">
        <v>122</v>
      </c>
      <c r="B160" s="132"/>
      <c r="C160" s="132"/>
      <c r="D160" s="132"/>
      <c r="E160" s="132"/>
      <c r="F160" s="132"/>
      <c r="G160" s="132"/>
      <c r="H160" s="132"/>
      <c r="I160" s="132"/>
      <c r="J160" s="132"/>
      <c r="K160" s="132"/>
      <c r="BB160" s="2"/>
      <c r="BC160" s="2"/>
      <c r="BD160" s="2"/>
      <c r="BE160" s="2"/>
      <c r="BF160" s="2"/>
      <c r="BG160" s="2"/>
      <c r="BH160" s="2"/>
      <c r="BI160" s="2"/>
      <c r="BJ160" s="2"/>
    </row>
    <row r="161" spans="1:62" x14ac:dyDescent="0.25">
      <c r="A161" s="5">
        <v>1</v>
      </c>
      <c r="B161" s="46">
        <v>45389</v>
      </c>
      <c r="C161" s="5">
        <v>252000</v>
      </c>
      <c r="D161" s="5">
        <v>26</v>
      </c>
      <c r="E161" s="5">
        <v>31</v>
      </c>
      <c r="F161" s="5">
        <v>6.1</v>
      </c>
      <c r="G161" s="48">
        <v>6.0589340327132337</v>
      </c>
      <c r="H161" s="48">
        <v>7.2549287080034048</v>
      </c>
      <c r="I161" s="48">
        <v>7.4846666742457071</v>
      </c>
      <c r="J161" s="5">
        <v>0.08</v>
      </c>
      <c r="K161" s="5">
        <v>17</v>
      </c>
      <c r="AZ161" s="5">
        <v>1</v>
      </c>
      <c r="BA161" s="46">
        <v>45389</v>
      </c>
      <c r="BB161" s="5">
        <v>252000</v>
      </c>
      <c r="BC161" s="5">
        <v>29</v>
      </c>
      <c r="BD161" s="5">
        <v>30</v>
      </c>
      <c r="BE161" s="5">
        <v>7.1</v>
      </c>
      <c r="BF161" s="48">
        <v>6.9458686362389166</v>
      </c>
      <c r="BG161" s="48">
        <v>7.3345713287676384</v>
      </c>
      <c r="BH161" s="48">
        <v>7.4421229442713477</v>
      </c>
      <c r="BI161" s="5">
        <v>0.03</v>
      </c>
      <c r="BJ161" s="5">
        <v>25</v>
      </c>
    </row>
    <row r="162" spans="1:62" x14ac:dyDescent="0.25">
      <c r="A162" s="5">
        <v>2</v>
      </c>
      <c r="B162" s="46">
        <v>45390</v>
      </c>
      <c r="C162" s="5">
        <v>252000</v>
      </c>
      <c r="D162" s="5">
        <v>26</v>
      </c>
      <c r="E162" s="5">
        <v>29</v>
      </c>
      <c r="F162" s="5">
        <v>6.7</v>
      </c>
      <c r="G162" s="48">
        <v>5.7520144948746434</v>
      </c>
      <c r="H162" s="48">
        <v>7.3611252764497372</v>
      </c>
      <c r="I162" s="48">
        <v>7.7346150263189442</v>
      </c>
      <c r="K162" s="5">
        <v>21</v>
      </c>
      <c r="AZ162" s="5">
        <v>2</v>
      </c>
      <c r="BA162" s="46">
        <v>45390</v>
      </c>
      <c r="BB162" s="5">
        <v>252000</v>
      </c>
      <c r="BC162" s="5">
        <v>28</v>
      </c>
      <c r="BD162" s="5">
        <v>32</v>
      </c>
      <c r="BE162" s="5">
        <v>5.9</v>
      </c>
      <c r="BF162" s="48">
        <v>6.2775264560822475</v>
      </c>
      <c r="BG162" s="48">
        <v>7.4017880098487474</v>
      </c>
      <c r="BH162" s="48">
        <v>7.749444678507408</v>
      </c>
      <c r="BJ162" s="5">
        <v>18</v>
      </c>
    </row>
    <row r="163" spans="1:62" x14ac:dyDescent="0.25">
      <c r="A163" s="5">
        <v>3</v>
      </c>
      <c r="B163" s="46">
        <v>45391</v>
      </c>
      <c r="C163" s="5">
        <v>252000</v>
      </c>
      <c r="D163" s="5">
        <v>27</v>
      </c>
      <c r="E163" s="5">
        <v>31</v>
      </c>
      <c r="F163" s="5">
        <v>6.3</v>
      </c>
      <c r="G163" s="48">
        <v>5.8282878838894066</v>
      </c>
      <c r="H163" s="48">
        <v>7.1454627523007597</v>
      </c>
      <c r="I163" s="48">
        <v>7.2111193514291907</v>
      </c>
      <c r="K163" s="5">
        <v>24</v>
      </c>
      <c r="AZ163" s="5">
        <v>3</v>
      </c>
      <c r="BA163" s="46">
        <v>45391</v>
      </c>
      <c r="BB163" s="5">
        <v>252000</v>
      </c>
      <c r="BC163" s="5">
        <v>26</v>
      </c>
      <c r="BD163" s="5">
        <v>31</v>
      </c>
      <c r="BE163" s="5">
        <v>5.5</v>
      </c>
      <c r="BF163" s="48">
        <v>5.5291288984625986</v>
      </c>
      <c r="BG163" s="48">
        <v>7.1508139911049771</v>
      </c>
      <c r="BH163" s="48">
        <v>7.1076967878309993</v>
      </c>
      <c r="BJ163" s="5">
        <v>22</v>
      </c>
    </row>
    <row r="164" spans="1:62" x14ac:dyDescent="0.25">
      <c r="A164" s="5">
        <v>4</v>
      </c>
      <c r="B164" s="46">
        <v>45392</v>
      </c>
      <c r="C164" s="5">
        <v>252000</v>
      </c>
      <c r="D164" s="5">
        <v>28</v>
      </c>
      <c r="E164" s="5">
        <v>31</v>
      </c>
      <c r="F164" s="5">
        <v>6.6</v>
      </c>
      <c r="G164" s="48">
        <v>6.7742381527963795</v>
      </c>
      <c r="H164" s="48">
        <v>7.5980917137969879</v>
      </c>
      <c r="I164" s="48">
        <v>7.3403744461680427</v>
      </c>
      <c r="K164" s="5">
        <v>25</v>
      </c>
      <c r="AZ164" s="5">
        <v>4</v>
      </c>
      <c r="BA164" s="46">
        <v>45392</v>
      </c>
      <c r="BB164" s="5">
        <v>252000</v>
      </c>
      <c r="BC164" s="5">
        <v>28</v>
      </c>
      <c r="BD164" s="5">
        <v>31</v>
      </c>
      <c r="BE164" s="5">
        <v>6.8</v>
      </c>
      <c r="BF164" s="48">
        <v>6.5930656415423403</v>
      </c>
      <c r="BG164" s="48">
        <v>7.145095760564109</v>
      </c>
      <c r="BH164" s="48">
        <v>7.5746590016084552</v>
      </c>
      <c r="BJ164" s="5">
        <v>19</v>
      </c>
    </row>
    <row r="165" spans="1:62" x14ac:dyDescent="0.25">
      <c r="A165" s="5">
        <v>5</v>
      </c>
      <c r="B165" s="46">
        <v>45393</v>
      </c>
      <c r="C165" s="5">
        <v>252000</v>
      </c>
      <c r="D165" s="5">
        <v>26</v>
      </c>
      <c r="E165" s="5">
        <v>31</v>
      </c>
      <c r="F165" s="5">
        <v>5.9</v>
      </c>
      <c r="G165" s="48">
        <v>6.9706818953585605</v>
      </c>
      <c r="H165" s="48">
        <v>7.181670650039373</v>
      </c>
      <c r="I165" s="48">
        <v>7.672751169628409</v>
      </c>
      <c r="K165" s="5">
        <v>23</v>
      </c>
      <c r="AZ165" s="5">
        <v>5</v>
      </c>
      <c r="BA165" s="46">
        <v>45393</v>
      </c>
      <c r="BB165" s="5">
        <v>252000</v>
      </c>
      <c r="BC165" s="5">
        <v>27</v>
      </c>
      <c r="BD165" s="5">
        <v>29</v>
      </c>
      <c r="BE165" s="5">
        <v>5.8</v>
      </c>
      <c r="BF165" s="48">
        <v>7.0540386874690979</v>
      </c>
      <c r="BG165" s="48">
        <v>7.577833319916893</v>
      </c>
      <c r="BH165" s="48">
        <v>7.1563707278473814</v>
      </c>
      <c r="BJ165" s="5">
        <v>25</v>
      </c>
    </row>
    <row r="166" spans="1:62" x14ac:dyDescent="0.25">
      <c r="A166" s="5">
        <v>6</v>
      </c>
      <c r="B166" s="46">
        <v>45394</v>
      </c>
      <c r="C166" s="5">
        <v>252000</v>
      </c>
      <c r="D166" s="5">
        <v>26</v>
      </c>
      <c r="E166" s="5">
        <v>32</v>
      </c>
      <c r="F166" s="5">
        <v>5.9</v>
      </c>
      <c r="G166" s="48">
        <v>6.2232968482147495</v>
      </c>
      <c r="H166" s="48">
        <v>7.3775388981348549</v>
      </c>
      <c r="I166" s="48">
        <v>7.3081698951412859</v>
      </c>
      <c r="K166" s="5">
        <v>23</v>
      </c>
      <c r="AZ166" s="5">
        <v>6</v>
      </c>
      <c r="BA166" s="46">
        <v>45394</v>
      </c>
      <c r="BB166" s="5">
        <v>252000</v>
      </c>
      <c r="BC166" s="5">
        <v>28</v>
      </c>
      <c r="BD166" s="5">
        <v>31</v>
      </c>
      <c r="BE166" s="5">
        <v>6</v>
      </c>
      <c r="BF166" s="48">
        <v>6.8468076150577764</v>
      </c>
      <c r="BG166" s="48">
        <v>7.1914727897099722</v>
      </c>
      <c r="BH166" s="48">
        <v>7.1475986226801087</v>
      </c>
      <c r="BJ166" s="5">
        <v>19</v>
      </c>
    </row>
    <row r="167" spans="1:62" x14ac:dyDescent="0.25">
      <c r="A167" s="5">
        <v>7</v>
      </c>
      <c r="B167" s="46">
        <v>45395</v>
      </c>
      <c r="C167" s="5">
        <v>252000</v>
      </c>
      <c r="D167" s="5">
        <v>27</v>
      </c>
      <c r="E167" s="5">
        <v>32</v>
      </c>
      <c r="F167" s="5">
        <v>7</v>
      </c>
      <c r="G167" s="48">
        <v>6.2194194841555674</v>
      </c>
      <c r="H167" s="48">
        <v>7.7806518547871208</v>
      </c>
      <c r="I167" s="48">
        <v>7.5384520467741103</v>
      </c>
      <c r="K167" s="5">
        <v>23</v>
      </c>
      <c r="AZ167" s="5">
        <v>7</v>
      </c>
      <c r="BA167" s="46">
        <v>45395</v>
      </c>
      <c r="BB167" s="5">
        <v>252000</v>
      </c>
      <c r="BC167" s="5">
        <v>29</v>
      </c>
      <c r="BD167" s="5">
        <v>30</v>
      </c>
      <c r="BE167" s="5">
        <v>5.9</v>
      </c>
      <c r="BF167" s="48">
        <v>6.730906217585269</v>
      </c>
      <c r="BG167" s="48">
        <v>7.4271204496541987</v>
      </c>
      <c r="BH167" s="48">
        <v>7.3750750321617478</v>
      </c>
      <c r="BJ167" s="5">
        <v>15</v>
      </c>
    </row>
    <row r="168" spans="1:62" x14ac:dyDescent="0.25">
      <c r="A168" s="5">
        <v>8</v>
      </c>
      <c r="B168" s="46">
        <v>45396</v>
      </c>
      <c r="C168" s="5">
        <v>252000</v>
      </c>
      <c r="D168" s="5">
        <v>26</v>
      </c>
      <c r="E168" s="5">
        <v>30</v>
      </c>
      <c r="F168" s="5">
        <v>6.9</v>
      </c>
      <c r="G168" s="48">
        <v>6.0317536625033874</v>
      </c>
      <c r="H168" s="48">
        <v>7.4036641496262652</v>
      </c>
      <c r="I168" s="48">
        <v>7.1131142915104215</v>
      </c>
      <c r="K168" s="5">
        <v>21</v>
      </c>
      <c r="AZ168" s="5">
        <v>8</v>
      </c>
      <c r="BA168" s="46">
        <v>45396</v>
      </c>
      <c r="BB168" s="5">
        <v>252000</v>
      </c>
      <c r="BC168" s="5">
        <v>29</v>
      </c>
      <c r="BD168" s="5">
        <v>30</v>
      </c>
      <c r="BE168" s="5">
        <v>7</v>
      </c>
      <c r="BF168" s="48">
        <v>6.7619560092724784</v>
      </c>
      <c r="BG168" s="48">
        <v>7.4234808420129257</v>
      </c>
      <c r="BH168" s="48">
        <v>7.304629904024627</v>
      </c>
      <c r="BJ168" s="5">
        <v>17</v>
      </c>
    </row>
    <row r="169" spans="1:62" x14ac:dyDescent="0.25">
      <c r="A169" s="5">
        <v>9</v>
      </c>
      <c r="B169" s="46">
        <v>45397</v>
      </c>
      <c r="C169" s="5">
        <v>252000</v>
      </c>
      <c r="D169" s="5">
        <v>29</v>
      </c>
      <c r="E169" s="5">
        <v>32</v>
      </c>
      <c r="F169" s="5">
        <v>5.5</v>
      </c>
      <c r="G169" s="48">
        <v>5.939244714309857</v>
      </c>
      <c r="H169" s="48">
        <v>7.4518734870388332</v>
      </c>
      <c r="I169" s="48">
        <v>7.1773462529948269</v>
      </c>
      <c r="K169" s="5">
        <v>16</v>
      </c>
      <c r="AZ169" s="5">
        <v>9</v>
      </c>
      <c r="BA169" s="46">
        <v>45397</v>
      </c>
      <c r="BB169" s="5">
        <v>252000</v>
      </c>
      <c r="BC169" s="5">
        <v>29</v>
      </c>
      <c r="BD169" s="5">
        <v>30</v>
      </c>
      <c r="BE169" s="5">
        <v>7.1</v>
      </c>
      <c r="BF169" s="48">
        <v>5.8019934791701893</v>
      </c>
      <c r="BG169" s="48">
        <v>7.4936579808709194</v>
      </c>
      <c r="BH169" s="48">
        <v>7.4663817681608977</v>
      </c>
      <c r="BJ169" s="5">
        <v>23</v>
      </c>
    </row>
    <row r="170" spans="1:62" x14ac:dyDescent="0.25">
      <c r="A170" s="5">
        <v>10</v>
      </c>
      <c r="B170" s="46">
        <v>45398</v>
      </c>
      <c r="C170" s="5">
        <v>252000</v>
      </c>
      <c r="D170" s="5">
        <v>26</v>
      </c>
      <c r="E170" s="5">
        <v>29</v>
      </c>
      <c r="F170" s="5">
        <v>6.8</v>
      </c>
      <c r="G170" s="48">
        <v>6.1664010171020429</v>
      </c>
      <c r="H170" s="48">
        <v>7.6325566699788956</v>
      </c>
      <c r="I170" s="48">
        <v>7.77397268283445</v>
      </c>
      <c r="K170" s="5">
        <v>18</v>
      </c>
      <c r="AZ170" s="5">
        <v>10</v>
      </c>
      <c r="BA170" s="46">
        <v>45398</v>
      </c>
      <c r="BB170" s="5">
        <v>252000</v>
      </c>
      <c r="BC170" s="5">
        <v>29</v>
      </c>
      <c r="BD170" s="5">
        <v>30</v>
      </c>
      <c r="BE170" s="5">
        <v>6.3</v>
      </c>
      <c r="BF170" s="48">
        <v>6.5641674190833008</v>
      </c>
      <c r="BG170" s="48">
        <v>7.4340715906572319</v>
      </c>
      <c r="BH170" s="48">
        <v>7.3835923300312141</v>
      </c>
      <c r="BJ170" s="5">
        <v>20</v>
      </c>
    </row>
    <row r="171" spans="1:62" x14ac:dyDescent="0.25">
      <c r="A171" s="5">
        <v>11</v>
      </c>
      <c r="B171" s="46">
        <v>45399</v>
      </c>
      <c r="C171" s="5">
        <v>252000</v>
      </c>
      <c r="D171" s="5">
        <v>26</v>
      </c>
      <c r="E171" s="5">
        <v>29</v>
      </c>
      <c r="F171" s="5">
        <v>6.7</v>
      </c>
      <c r="G171" s="48">
        <v>6.2587142390427895</v>
      </c>
      <c r="H171" s="48">
        <v>7.608146575094854</v>
      </c>
      <c r="I171" s="48">
        <v>7.2229548859189974</v>
      </c>
      <c r="K171" s="5">
        <v>23</v>
      </c>
      <c r="AZ171" s="5">
        <v>11</v>
      </c>
      <c r="BA171" s="46">
        <v>45399</v>
      </c>
      <c r="BB171" s="5">
        <v>252000</v>
      </c>
      <c r="BC171" s="5">
        <v>29</v>
      </c>
      <c r="BD171" s="5">
        <v>29</v>
      </c>
      <c r="BE171" s="5">
        <v>5.5</v>
      </c>
      <c r="BF171" s="48">
        <v>6.538617965520892</v>
      </c>
      <c r="BG171" s="48">
        <v>7.4612173040341796</v>
      </c>
      <c r="BH171" s="48">
        <v>7.4360541743528028</v>
      </c>
      <c r="BJ171" s="5">
        <v>17</v>
      </c>
    </row>
    <row r="172" spans="1:62" x14ac:dyDescent="0.25">
      <c r="A172" s="5">
        <v>12</v>
      </c>
      <c r="B172" s="46">
        <v>45400</v>
      </c>
      <c r="C172" s="5">
        <v>252000</v>
      </c>
      <c r="D172" s="5">
        <v>28</v>
      </c>
      <c r="E172" s="5">
        <v>30</v>
      </c>
      <c r="F172" s="5">
        <v>5.7</v>
      </c>
      <c r="G172" s="48">
        <v>6.239950715430818</v>
      </c>
      <c r="H172" s="48">
        <v>7.5232887770538266</v>
      </c>
      <c r="I172" s="48">
        <v>7.5712100297265046</v>
      </c>
      <c r="K172" s="5">
        <v>24</v>
      </c>
      <c r="AZ172" s="5">
        <v>12</v>
      </c>
      <c r="BA172" s="46">
        <v>45400</v>
      </c>
      <c r="BB172" s="5">
        <v>252000</v>
      </c>
      <c r="BC172" s="5">
        <v>28</v>
      </c>
      <c r="BD172" s="5">
        <v>32</v>
      </c>
      <c r="BE172" s="5">
        <v>6.9</v>
      </c>
      <c r="BF172" s="48">
        <v>6.6753059550845473</v>
      </c>
      <c r="BG172" s="48">
        <v>7.1423314341552526</v>
      </c>
      <c r="BH172" s="48">
        <v>7.563854132230972</v>
      </c>
      <c r="BJ172" s="5">
        <v>19</v>
      </c>
    </row>
    <row r="173" spans="1:62" x14ac:dyDescent="0.25">
      <c r="A173" s="5">
        <v>13</v>
      </c>
      <c r="B173" s="46">
        <v>45401</v>
      </c>
      <c r="C173" s="5">
        <v>252000</v>
      </c>
      <c r="D173" s="5">
        <v>27</v>
      </c>
      <c r="E173" s="5">
        <v>29</v>
      </c>
      <c r="F173" s="5">
        <v>6.8</v>
      </c>
      <c r="G173" s="48">
        <v>7.0367239104978374</v>
      </c>
      <c r="H173" s="48">
        <v>7.6560872405810381</v>
      </c>
      <c r="I173" s="48">
        <v>7.1262647684844733</v>
      </c>
      <c r="K173" s="5">
        <v>21</v>
      </c>
      <c r="AZ173" s="5">
        <v>13</v>
      </c>
      <c r="BA173" s="46">
        <v>45401</v>
      </c>
      <c r="BB173" s="5">
        <v>252000</v>
      </c>
      <c r="BC173" s="5">
        <v>29</v>
      </c>
      <c r="BD173" s="5">
        <v>31</v>
      </c>
      <c r="BE173" s="5">
        <v>6.7</v>
      </c>
      <c r="BF173" s="48">
        <v>7.0873569978394082</v>
      </c>
      <c r="BG173" s="48">
        <v>7.4907652914521652</v>
      </c>
      <c r="BH173" s="48">
        <v>7.3693110045479093</v>
      </c>
      <c r="BJ173" s="5">
        <v>18</v>
      </c>
    </row>
    <row r="174" spans="1:62" x14ac:dyDescent="0.25">
      <c r="A174" s="5">
        <v>14</v>
      </c>
      <c r="B174" s="46">
        <v>45402</v>
      </c>
      <c r="C174" s="5">
        <v>252000</v>
      </c>
      <c r="D174" s="5">
        <v>29</v>
      </c>
      <c r="E174" s="5">
        <v>30</v>
      </c>
      <c r="F174" s="5">
        <v>5.6</v>
      </c>
      <c r="G174" s="48">
        <v>7.1937614072396059</v>
      </c>
      <c r="H174" s="48">
        <v>7.2816730606096982</v>
      </c>
      <c r="I174" s="48">
        <v>7.5667713954584412</v>
      </c>
      <c r="K174" s="5">
        <v>15</v>
      </c>
      <c r="AZ174" s="5">
        <v>14</v>
      </c>
      <c r="BA174" s="46">
        <v>45402</v>
      </c>
      <c r="BB174" s="5">
        <v>252000</v>
      </c>
      <c r="BC174" s="5">
        <v>26</v>
      </c>
      <c r="BD174" s="5">
        <v>32</v>
      </c>
      <c r="BE174" s="5">
        <v>6.1</v>
      </c>
      <c r="BF174" s="48">
        <v>6.1007463330917098</v>
      </c>
      <c r="BG174" s="48">
        <v>7.312637835609797</v>
      </c>
      <c r="BH174" s="48">
        <v>7.625923014508845</v>
      </c>
      <c r="BJ174" s="5">
        <v>17</v>
      </c>
    </row>
    <row r="175" spans="1:62" x14ac:dyDescent="0.25">
      <c r="A175" s="5">
        <v>15</v>
      </c>
      <c r="B175" s="46">
        <v>45403</v>
      </c>
      <c r="C175" s="5">
        <v>252000</v>
      </c>
      <c r="D175" s="5">
        <v>27</v>
      </c>
      <c r="E175" s="5">
        <v>30</v>
      </c>
      <c r="F175" s="5">
        <v>6.5</v>
      </c>
      <c r="G175" s="48">
        <v>5.6593573193850712</v>
      </c>
      <c r="H175" s="48">
        <v>7.7641997383056669</v>
      </c>
      <c r="I175" s="48">
        <v>7.1327232672567487</v>
      </c>
      <c r="K175" s="5">
        <v>23</v>
      </c>
      <c r="AZ175" s="5">
        <v>15</v>
      </c>
      <c r="BA175" s="46">
        <v>45403</v>
      </c>
      <c r="BB175" s="5">
        <v>252000</v>
      </c>
      <c r="BC175" s="5">
        <v>26</v>
      </c>
      <c r="BD175" s="5">
        <v>32</v>
      </c>
      <c r="BE175" s="5">
        <v>5.9</v>
      </c>
      <c r="BF175" s="48">
        <v>6.9507081331652314</v>
      </c>
      <c r="BG175" s="48">
        <v>7.2889183249924177</v>
      </c>
      <c r="BH175" s="48">
        <v>7.1155667881886187</v>
      </c>
      <c r="BI175" s="5">
        <v>0.05</v>
      </c>
      <c r="BJ175" s="5">
        <v>19</v>
      </c>
    </row>
    <row r="176" spans="1:62" x14ac:dyDescent="0.25">
      <c r="A176" s="5">
        <v>16</v>
      </c>
      <c r="B176" s="46">
        <v>45404</v>
      </c>
      <c r="C176" s="5">
        <v>252000</v>
      </c>
      <c r="D176" s="5">
        <v>29</v>
      </c>
      <c r="E176" s="5">
        <v>30</v>
      </c>
      <c r="F176" s="5">
        <v>5.5</v>
      </c>
      <c r="G176" s="48">
        <v>7.1751728146215523</v>
      </c>
      <c r="H176" s="48">
        <v>7.3191993491940543</v>
      </c>
      <c r="I176" s="48">
        <v>7.4783940813899932</v>
      </c>
      <c r="J176" s="5">
        <v>0.05</v>
      </c>
      <c r="K176" s="5">
        <v>17</v>
      </c>
      <c r="AZ176" s="5">
        <v>16</v>
      </c>
      <c r="BA176" s="46">
        <v>45404</v>
      </c>
      <c r="BB176" s="5">
        <v>252000</v>
      </c>
      <c r="BC176" s="5">
        <v>26</v>
      </c>
      <c r="BD176" s="5">
        <v>32</v>
      </c>
      <c r="BE176" s="5">
        <v>6.8</v>
      </c>
      <c r="BF176" s="48">
        <v>7.0064042197156473</v>
      </c>
      <c r="BG176" s="48">
        <v>7.4816967803742349</v>
      </c>
      <c r="BH176" s="48">
        <v>7.4265377523146041</v>
      </c>
      <c r="BJ176" s="5">
        <v>25</v>
      </c>
    </row>
    <row r="177" spans="1:62" x14ac:dyDescent="0.25">
      <c r="A177" s="5">
        <v>17</v>
      </c>
      <c r="B177" s="46">
        <v>45405</v>
      </c>
      <c r="C177" s="5">
        <v>252000</v>
      </c>
      <c r="D177" s="5">
        <v>27</v>
      </c>
      <c r="E177" s="5">
        <v>32</v>
      </c>
      <c r="F177" s="5">
        <v>6.3</v>
      </c>
      <c r="G177" s="48">
        <v>5.9682614717170601</v>
      </c>
      <c r="H177" s="48">
        <v>7.1258516947700858</v>
      </c>
      <c r="I177" s="48">
        <v>7.5723414168554211</v>
      </c>
      <c r="K177" s="5">
        <v>23</v>
      </c>
      <c r="AZ177" s="5">
        <v>17</v>
      </c>
      <c r="BA177" s="46">
        <v>45405</v>
      </c>
      <c r="BB177" s="5">
        <v>252000</v>
      </c>
      <c r="BC177" s="5">
        <v>29</v>
      </c>
      <c r="BD177" s="5">
        <v>29</v>
      </c>
      <c r="BE177" s="5">
        <v>6.6</v>
      </c>
      <c r="BF177" s="48">
        <v>6.9020263269959807</v>
      </c>
      <c r="BG177" s="48">
        <v>7.3812494049066446</v>
      </c>
      <c r="BH177" s="48">
        <v>7.6979117935774566</v>
      </c>
      <c r="BJ177" s="5">
        <v>18</v>
      </c>
    </row>
    <row r="178" spans="1:62" x14ac:dyDescent="0.25">
      <c r="A178" s="5">
        <v>18</v>
      </c>
      <c r="B178" s="46">
        <v>45406</v>
      </c>
      <c r="C178" s="5">
        <v>252000</v>
      </c>
      <c r="D178" s="5">
        <v>29</v>
      </c>
      <c r="E178" s="5">
        <v>30</v>
      </c>
      <c r="F178" s="5">
        <v>6.6</v>
      </c>
      <c r="G178" s="48">
        <v>7.0815734405386452</v>
      </c>
      <c r="H178" s="48">
        <v>7.4216148510017685</v>
      </c>
      <c r="I178" s="48">
        <v>7.4987061867596942</v>
      </c>
      <c r="K178" s="5">
        <v>16</v>
      </c>
      <c r="AZ178" s="5">
        <v>18</v>
      </c>
      <c r="BA178" s="46">
        <v>45406</v>
      </c>
      <c r="BB178" s="5">
        <v>252000</v>
      </c>
      <c r="BC178" s="5">
        <v>26</v>
      </c>
      <c r="BD178" s="5">
        <v>31</v>
      </c>
      <c r="BE178" s="5">
        <v>5.7</v>
      </c>
      <c r="BF178" s="48">
        <v>6.395945118105006</v>
      </c>
      <c r="BG178" s="48">
        <v>7.3375877260572384</v>
      </c>
      <c r="BH178" s="48">
        <v>7.6645857375604134</v>
      </c>
      <c r="BJ178" s="5">
        <v>20</v>
      </c>
    </row>
    <row r="179" spans="1:62" x14ac:dyDescent="0.25">
      <c r="A179" s="5">
        <v>19</v>
      </c>
      <c r="B179" s="46">
        <v>45407</v>
      </c>
      <c r="C179" s="5">
        <v>252000</v>
      </c>
      <c r="D179" s="5">
        <v>29</v>
      </c>
      <c r="E179" s="5">
        <v>32</v>
      </c>
      <c r="F179" s="5">
        <v>7.1</v>
      </c>
      <c r="G179" s="48">
        <v>6.9275126445379787</v>
      </c>
      <c r="H179" s="48">
        <v>7.72387377376897</v>
      </c>
      <c r="I179" s="48">
        <v>7.7803672715643053</v>
      </c>
      <c r="K179" s="5">
        <v>19</v>
      </c>
      <c r="AZ179" s="5">
        <v>19</v>
      </c>
      <c r="BA179" s="46">
        <v>45407</v>
      </c>
      <c r="BB179" s="5">
        <v>252000</v>
      </c>
      <c r="BC179" s="5">
        <v>26</v>
      </c>
      <c r="BD179" s="5">
        <v>29</v>
      </c>
      <c r="BE179" s="5">
        <v>6.5</v>
      </c>
      <c r="BF179" s="48">
        <v>6.4577137911570768</v>
      </c>
      <c r="BG179" s="48">
        <v>7.454918756076343</v>
      </c>
      <c r="BH179" s="48">
        <v>7.1265808888394995</v>
      </c>
      <c r="BJ179" s="5">
        <v>21</v>
      </c>
    </row>
    <row r="180" spans="1:62" x14ac:dyDescent="0.25">
      <c r="A180" s="5">
        <v>20</v>
      </c>
      <c r="B180" s="46">
        <v>45408</v>
      </c>
      <c r="C180" s="5">
        <v>252000</v>
      </c>
      <c r="D180" s="5">
        <v>27</v>
      </c>
      <c r="E180" s="5">
        <v>29</v>
      </c>
      <c r="F180" s="5">
        <v>6</v>
      </c>
      <c r="G180" s="48">
        <v>6.1015726476447778</v>
      </c>
      <c r="H180" s="48">
        <v>7.1728086993226405</v>
      </c>
      <c r="I180" s="48">
        <v>7.6123676702817722</v>
      </c>
      <c r="K180" s="5">
        <v>15</v>
      </c>
      <c r="AZ180" s="5">
        <v>20</v>
      </c>
      <c r="BA180" s="46">
        <v>45408</v>
      </c>
      <c r="BB180" s="5">
        <v>252000</v>
      </c>
      <c r="BC180" s="5">
        <v>29</v>
      </c>
      <c r="BD180" s="5">
        <v>30</v>
      </c>
      <c r="BE180" s="5">
        <v>5.9</v>
      </c>
      <c r="BF180" s="48">
        <v>6.5197753964248406</v>
      </c>
      <c r="BG180" s="48">
        <v>7.4837650216062093</v>
      </c>
      <c r="BH180" s="48">
        <v>7.7249928993498456</v>
      </c>
      <c r="BJ180" s="5">
        <v>17</v>
      </c>
    </row>
    <row r="181" spans="1:62" x14ac:dyDescent="0.25">
      <c r="A181" s="5">
        <v>21</v>
      </c>
      <c r="B181" s="46">
        <v>45409</v>
      </c>
      <c r="C181" s="5">
        <v>252000</v>
      </c>
      <c r="D181" s="5">
        <v>27</v>
      </c>
      <c r="E181" s="5">
        <v>31</v>
      </c>
      <c r="F181" s="5">
        <v>7</v>
      </c>
      <c r="G181" s="48">
        <v>5.7578691333766017</v>
      </c>
      <c r="H181" s="48">
        <v>7.1203404579470808</v>
      </c>
      <c r="I181" s="48">
        <v>7.6051070993328471</v>
      </c>
      <c r="K181" s="5">
        <v>24</v>
      </c>
      <c r="AZ181" s="5">
        <v>21</v>
      </c>
      <c r="BA181" s="46">
        <v>45409</v>
      </c>
      <c r="BB181" s="5">
        <v>252000</v>
      </c>
      <c r="BC181" s="5">
        <v>28</v>
      </c>
      <c r="BD181" s="5">
        <v>31</v>
      </c>
      <c r="BE181" s="5">
        <v>6.8</v>
      </c>
      <c r="BF181" s="48">
        <v>5.6979788399639277</v>
      </c>
      <c r="BG181" s="48">
        <v>7.5850027390953656</v>
      </c>
      <c r="BH181" s="48">
        <v>7.1737496959617957</v>
      </c>
      <c r="BJ181" s="5">
        <v>15</v>
      </c>
    </row>
    <row r="182" spans="1:62" x14ac:dyDescent="0.25">
      <c r="A182" s="5">
        <v>22</v>
      </c>
      <c r="B182" s="46">
        <v>45410</v>
      </c>
      <c r="C182" s="5">
        <v>252000</v>
      </c>
      <c r="D182" s="5">
        <v>29</v>
      </c>
      <c r="E182" s="5">
        <v>31</v>
      </c>
      <c r="F182" s="5">
        <v>6.2</v>
      </c>
      <c r="G182" s="48">
        <v>5.8160900517136476</v>
      </c>
      <c r="H182" s="48">
        <v>7.1107562174388548</v>
      </c>
      <c r="I182" s="48">
        <v>7.23881406124144</v>
      </c>
      <c r="K182" s="5">
        <v>22</v>
      </c>
      <c r="AZ182" s="5">
        <v>22</v>
      </c>
      <c r="BA182" s="46">
        <v>45410</v>
      </c>
      <c r="BB182" s="5">
        <v>252000</v>
      </c>
      <c r="BC182" s="5">
        <v>29</v>
      </c>
      <c r="BD182" s="5">
        <v>32</v>
      </c>
      <c r="BE182" s="5">
        <v>6.3</v>
      </c>
      <c r="BF182" s="48">
        <v>6.6629085639788945</v>
      </c>
      <c r="BG182" s="48">
        <v>7.7694251620077637</v>
      </c>
      <c r="BH182" s="48">
        <v>7.214537574963483</v>
      </c>
      <c r="BJ182" s="5">
        <v>25</v>
      </c>
    </row>
    <row r="183" spans="1:62" x14ac:dyDescent="0.25">
      <c r="A183" s="5">
        <v>23</v>
      </c>
      <c r="B183" s="46">
        <v>45411</v>
      </c>
      <c r="C183" s="5">
        <v>252000</v>
      </c>
      <c r="D183" s="5">
        <v>29</v>
      </c>
      <c r="E183" s="5">
        <v>29</v>
      </c>
      <c r="F183" s="5">
        <v>5.8</v>
      </c>
      <c r="G183" s="48">
        <v>6.465047072740111</v>
      </c>
      <c r="H183" s="48">
        <v>7.6352433480428559</v>
      </c>
      <c r="I183" s="48">
        <v>7.6643038808993715</v>
      </c>
      <c r="K183" s="5">
        <v>20</v>
      </c>
      <c r="AZ183" s="5">
        <v>23</v>
      </c>
      <c r="BA183" s="46">
        <v>45411</v>
      </c>
      <c r="BB183" s="5">
        <v>252000</v>
      </c>
      <c r="BC183" s="5">
        <v>26</v>
      </c>
      <c r="BD183" s="5">
        <v>32</v>
      </c>
      <c r="BE183" s="5">
        <v>6.4</v>
      </c>
      <c r="BF183" s="48">
        <v>5.7441745189976654</v>
      </c>
      <c r="BG183" s="48">
        <v>7.6349773289246432</v>
      </c>
      <c r="BH183" s="48">
        <v>7.1343609329591153</v>
      </c>
      <c r="BJ183" s="5">
        <v>25</v>
      </c>
    </row>
    <row r="184" spans="1:62" x14ac:dyDescent="0.25">
      <c r="A184" s="5">
        <v>24</v>
      </c>
      <c r="B184" s="46">
        <v>45412</v>
      </c>
      <c r="C184" s="5">
        <v>252000</v>
      </c>
      <c r="D184" s="5">
        <v>28</v>
      </c>
      <c r="E184" s="5">
        <v>30</v>
      </c>
      <c r="F184" s="5">
        <v>5.8</v>
      </c>
      <c r="G184" s="48">
        <v>6.8461973447231985</v>
      </c>
      <c r="H184" s="48">
        <v>7.7414160669208023</v>
      </c>
      <c r="I184" s="48">
        <v>7.6016776153531769</v>
      </c>
      <c r="K184" s="5">
        <v>15</v>
      </c>
      <c r="AZ184" s="5">
        <v>24</v>
      </c>
      <c r="BA184" s="46">
        <v>45412</v>
      </c>
      <c r="BB184" s="5">
        <v>252000</v>
      </c>
      <c r="BC184" s="5">
        <v>29</v>
      </c>
      <c r="BD184" s="5">
        <v>29</v>
      </c>
      <c r="BE184" s="5">
        <v>6.1</v>
      </c>
      <c r="BF184" s="48">
        <v>5.8838655494685153</v>
      </c>
      <c r="BG184" s="48">
        <v>7.5634504428735161</v>
      </c>
      <c r="BH184" s="48">
        <v>7.4103004840191904</v>
      </c>
      <c r="BJ184" s="5">
        <v>16</v>
      </c>
    </row>
    <row r="185" spans="1:62" x14ac:dyDescent="0.25">
      <c r="A185" s="5">
        <v>25</v>
      </c>
      <c r="B185" s="46">
        <v>45413</v>
      </c>
      <c r="C185" s="5">
        <v>252000</v>
      </c>
      <c r="D185" s="5">
        <v>27</v>
      </c>
      <c r="E185" s="5">
        <v>29</v>
      </c>
      <c r="F185" s="5">
        <v>6.3</v>
      </c>
      <c r="G185" s="48">
        <v>6.0306183755834804</v>
      </c>
      <c r="H185" s="48">
        <v>7.1804304310760019</v>
      </c>
      <c r="I185" s="48">
        <v>7.1432067972047264</v>
      </c>
      <c r="K185" s="5">
        <v>25</v>
      </c>
      <c r="AZ185" s="5">
        <v>25</v>
      </c>
      <c r="BA185" s="46">
        <v>45413</v>
      </c>
      <c r="BB185" s="5">
        <v>252000</v>
      </c>
      <c r="BC185" s="5">
        <v>26</v>
      </c>
      <c r="BD185" s="5">
        <v>31</v>
      </c>
      <c r="BE185" s="5">
        <v>5.6</v>
      </c>
      <c r="BF185" s="48">
        <v>6.0846008763731465</v>
      </c>
      <c r="BG185" s="48">
        <v>7.2930269065400353</v>
      </c>
      <c r="BH185" s="48">
        <v>7.6296909314684331</v>
      </c>
      <c r="BJ185" s="5">
        <v>19</v>
      </c>
    </row>
    <row r="186" spans="1:62" x14ac:dyDescent="0.25">
      <c r="A186" s="5">
        <v>26</v>
      </c>
      <c r="B186" s="46">
        <v>45414</v>
      </c>
      <c r="C186" s="5">
        <v>252000</v>
      </c>
      <c r="D186" s="5">
        <v>27</v>
      </c>
      <c r="E186" s="5">
        <v>30</v>
      </c>
      <c r="F186" s="5">
        <v>7</v>
      </c>
      <c r="G186" s="48">
        <v>5.6263030982617215</v>
      </c>
      <c r="H186" s="48">
        <v>7.2633303984269739</v>
      </c>
      <c r="I186" s="48">
        <v>7.1418941550027499</v>
      </c>
      <c r="K186" s="5">
        <v>24</v>
      </c>
      <c r="AZ186" s="5">
        <v>26</v>
      </c>
      <c r="BA186" s="46">
        <v>45414</v>
      </c>
      <c r="BB186" s="5">
        <v>252000</v>
      </c>
      <c r="BC186" s="5">
        <v>27</v>
      </c>
      <c r="BD186" s="5">
        <v>29</v>
      </c>
      <c r="BE186" s="5">
        <v>6.3</v>
      </c>
      <c r="BF186" s="48">
        <v>7.0549470441476183</v>
      </c>
      <c r="BG186" s="48">
        <v>7.3800922674413725</v>
      </c>
      <c r="BH186" s="48">
        <v>7.7277541864404267</v>
      </c>
      <c r="BJ186" s="5">
        <v>21</v>
      </c>
    </row>
    <row r="187" spans="1:62" x14ac:dyDescent="0.25">
      <c r="A187" s="5">
        <v>27</v>
      </c>
      <c r="B187" s="46">
        <v>45415</v>
      </c>
      <c r="C187" s="5">
        <v>252000</v>
      </c>
      <c r="D187" s="5">
        <v>29</v>
      </c>
      <c r="E187" s="5">
        <v>29</v>
      </c>
      <c r="F187" s="5">
        <v>6.6</v>
      </c>
      <c r="G187" s="48">
        <v>6.6086126144997985</v>
      </c>
      <c r="H187" s="48">
        <v>7.4613192542146534</v>
      </c>
      <c r="I187" s="48">
        <v>7.7679752241666327</v>
      </c>
      <c r="K187" s="5">
        <v>24</v>
      </c>
      <c r="AZ187" s="5">
        <v>27</v>
      </c>
      <c r="BA187" s="46">
        <v>45415</v>
      </c>
      <c r="BB187" s="5">
        <v>252000</v>
      </c>
      <c r="BC187" s="5">
        <v>29</v>
      </c>
      <c r="BD187" s="5">
        <v>32</v>
      </c>
      <c r="BE187" s="5">
        <v>5.6</v>
      </c>
      <c r="BF187" s="48">
        <v>6.7202563517806766</v>
      </c>
      <c r="BG187" s="48">
        <v>7.4263028689729929</v>
      </c>
      <c r="BH187" s="48">
        <v>7.4233829745022835</v>
      </c>
      <c r="BJ187" s="5">
        <v>21</v>
      </c>
    </row>
    <row r="188" spans="1:62" x14ac:dyDescent="0.25">
      <c r="A188" s="5">
        <v>28</v>
      </c>
      <c r="B188" s="46">
        <v>45416</v>
      </c>
      <c r="C188" s="5">
        <v>252000</v>
      </c>
      <c r="D188" s="5">
        <v>28</v>
      </c>
      <c r="E188" s="5">
        <v>32</v>
      </c>
      <c r="F188" s="5">
        <v>5.9</v>
      </c>
      <c r="G188" s="48">
        <v>6.6133601472503578</v>
      </c>
      <c r="H188" s="48">
        <v>7.6218787747015364</v>
      </c>
      <c r="I188" s="48">
        <v>7.1315326738808658</v>
      </c>
      <c r="K188" s="5">
        <v>16</v>
      </c>
      <c r="AZ188" s="5">
        <v>28</v>
      </c>
      <c r="BA188" s="46">
        <v>45416</v>
      </c>
      <c r="BB188" s="5">
        <v>252000</v>
      </c>
      <c r="BC188" s="5">
        <v>29</v>
      </c>
      <c r="BD188" s="5">
        <v>31</v>
      </c>
      <c r="BE188" s="5">
        <v>6.6</v>
      </c>
      <c r="BF188" s="48">
        <v>6.3835002001774628</v>
      </c>
      <c r="BG188" s="48">
        <v>7.2165945672897713</v>
      </c>
      <c r="BH188" s="48">
        <v>7.452891064727754</v>
      </c>
      <c r="BJ188" s="5">
        <v>22</v>
      </c>
    </row>
    <row r="189" spans="1:62" x14ac:dyDescent="0.25">
      <c r="A189" s="5">
        <v>29</v>
      </c>
      <c r="B189" s="46">
        <v>45417</v>
      </c>
      <c r="C189" s="5">
        <v>252000</v>
      </c>
      <c r="D189" s="5">
        <v>26</v>
      </c>
      <c r="E189" s="5">
        <v>32</v>
      </c>
      <c r="F189" s="5">
        <v>5.8</v>
      </c>
      <c r="G189" s="48">
        <v>5.7258957004219475</v>
      </c>
      <c r="H189" s="48">
        <v>7.5036653339724593</v>
      </c>
      <c r="I189" s="48">
        <v>7.6558335916141322</v>
      </c>
      <c r="J189" s="5">
        <v>0.03</v>
      </c>
      <c r="K189" s="5">
        <v>20</v>
      </c>
      <c r="AZ189" s="5">
        <v>29</v>
      </c>
      <c r="BA189" s="46">
        <v>45417</v>
      </c>
      <c r="BB189" s="5">
        <v>252000</v>
      </c>
      <c r="BC189" s="5">
        <v>27</v>
      </c>
      <c r="BD189" s="5">
        <v>29</v>
      </c>
      <c r="BE189" s="5">
        <v>6</v>
      </c>
      <c r="BF189" s="48">
        <v>6.313893562145986</v>
      </c>
      <c r="BG189" s="48">
        <v>7.663710118607268</v>
      </c>
      <c r="BH189" s="48">
        <v>7.2195840614898188</v>
      </c>
      <c r="BI189" s="5">
        <v>0.04</v>
      </c>
      <c r="BJ189" s="5">
        <v>21</v>
      </c>
    </row>
    <row r="190" spans="1:62" x14ac:dyDescent="0.25">
      <c r="A190" s="5">
        <v>30</v>
      </c>
      <c r="B190" s="46">
        <v>45418</v>
      </c>
      <c r="C190" s="5">
        <v>252000</v>
      </c>
      <c r="D190" s="5">
        <v>27</v>
      </c>
      <c r="E190" s="5">
        <v>30</v>
      </c>
      <c r="F190" s="5">
        <v>5.7</v>
      </c>
      <c r="G190" s="48">
        <v>7.1388541965321268</v>
      </c>
      <c r="H190" s="48">
        <v>7.2348857361530552</v>
      </c>
      <c r="I190" s="48">
        <v>7.3022578233217379</v>
      </c>
      <c r="K190" s="5">
        <v>25</v>
      </c>
      <c r="AZ190" s="5">
        <v>30</v>
      </c>
      <c r="BA190" s="46">
        <v>45418</v>
      </c>
      <c r="BB190" s="5">
        <v>252000</v>
      </c>
      <c r="BC190" s="5">
        <v>28</v>
      </c>
      <c r="BD190" s="5">
        <v>30</v>
      </c>
      <c r="BE190" s="5">
        <v>5.8</v>
      </c>
      <c r="BF190" s="48">
        <v>5.8970693217945849</v>
      </c>
      <c r="BG190" s="48">
        <v>7.4274028306036186</v>
      </c>
      <c r="BH190" s="48">
        <v>7.3164660799702403</v>
      </c>
      <c r="BJ190" s="5">
        <v>23</v>
      </c>
    </row>
    <row r="191" spans="1:62" x14ac:dyDescent="0.25">
      <c r="A191" s="5">
        <v>31</v>
      </c>
      <c r="B191" s="46">
        <v>45419</v>
      </c>
      <c r="C191" s="5">
        <v>252000</v>
      </c>
      <c r="D191" s="5">
        <v>27</v>
      </c>
      <c r="E191" s="5">
        <v>30</v>
      </c>
      <c r="F191" s="5">
        <v>6.9</v>
      </c>
      <c r="G191" s="48">
        <v>6.6161468331658622</v>
      </c>
      <c r="H191" s="48">
        <v>7.308865482382064</v>
      </c>
      <c r="I191" s="48">
        <v>7.7021151800253271</v>
      </c>
      <c r="K191" s="5">
        <v>24</v>
      </c>
      <c r="AZ191" s="5">
        <v>31</v>
      </c>
      <c r="BA191" s="46">
        <v>45419</v>
      </c>
      <c r="BB191" s="5">
        <v>252000</v>
      </c>
      <c r="BC191" s="5">
        <v>27</v>
      </c>
      <c r="BD191" s="5">
        <v>30</v>
      </c>
      <c r="BE191" s="5">
        <v>5.5</v>
      </c>
      <c r="BF191" s="48">
        <v>5.7769157155258135</v>
      </c>
      <c r="BG191" s="48">
        <v>7.5071414101605667</v>
      </c>
      <c r="BH191" s="48">
        <v>7.2304337619812751</v>
      </c>
      <c r="BJ191" s="5">
        <v>20</v>
      </c>
    </row>
    <row r="192" spans="1:62" x14ac:dyDescent="0.25">
      <c r="A192" s="5">
        <v>32</v>
      </c>
      <c r="B192" s="46">
        <v>45420</v>
      </c>
      <c r="C192" s="5">
        <v>252000</v>
      </c>
      <c r="D192" s="5">
        <v>26</v>
      </c>
      <c r="E192" s="5">
        <v>29</v>
      </c>
      <c r="F192" s="5">
        <v>6.6</v>
      </c>
      <c r="G192" s="48">
        <v>6.5380447378443325</v>
      </c>
      <c r="H192" s="48">
        <v>7.1463997758864046</v>
      </c>
      <c r="I192" s="48">
        <v>7.2808943503551697</v>
      </c>
      <c r="K192" s="5">
        <v>16</v>
      </c>
      <c r="AZ192" s="5">
        <v>32</v>
      </c>
      <c r="BA192" s="46">
        <v>45420</v>
      </c>
      <c r="BB192" s="5">
        <v>252000</v>
      </c>
      <c r="BC192" s="5">
        <v>29</v>
      </c>
      <c r="BD192" s="5">
        <v>30</v>
      </c>
      <c r="BE192" s="5">
        <v>7.1</v>
      </c>
      <c r="BF192" s="48">
        <v>6.2270567056091046</v>
      </c>
      <c r="BG192" s="48">
        <v>7.4609192093738663</v>
      </c>
      <c r="BH192" s="48">
        <v>7.6554594236320659</v>
      </c>
      <c r="BJ192" s="5">
        <v>19</v>
      </c>
    </row>
    <row r="193" spans="1:62" x14ac:dyDescent="0.25">
      <c r="A193" s="5">
        <v>33</v>
      </c>
      <c r="B193" s="46">
        <v>45421</v>
      </c>
      <c r="C193" s="5">
        <v>252000</v>
      </c>
      <c r="D193" s="5">
        <v>28</v>
      </c>
      <c r="E193" s="5">
        <v>32</v>
      </c>
      <c r="F193" s="5">
        <v>6.9</v>
      </c>
      <c r="G193" s="48">
        <v>6.1407772036290069</v>
      </c>
      <c r="H193" s="48">
        <v>7.2501002418797329</v>
      </c>
      <c r="I193" s="48">
        <v>7.2792543259422988</v>
      </c>
      <c r="K193" s="5">
        <v>17</v>
      </c>
      <c r="AZ193" s="5">
        <v>33</v>
      </c>
      <c r="BA193" s="46">
        <v>45421</v>
      </c>
      <c r="BB193" s="5">
        <v>252000</v>
      </c>
      <c r="BC193" s="5">
        <v>27</v>
      </c>
      <c r="BD193" s="5">
        <v>30</v>
      </c>
      <c r="BE193" s="5">
        <v>5.9</v>
      </c>
      <c r="BF193" s="48">
        <v>5.6057612904905607</v>
      </c>
      <c r="BG193" s="48">
        <v>7.5463158295166144</v>
      </c>
      <c r="BH193" s="48">
        <v>7.2348491484075366</v>
      </c>
      <c r="BJ193" s="5">
        <v>21</v>
      </c>
    </row>
    <row r="194" spans="1:62" x14ac:dyDescent="0.25">
      <c r="A194" s="5">
        <v>34</v>
      </c>
      <c r="B194" s="46">
        <v>45422</v>
      </c>
      <c r="C194" s="5">
        <v>252000</v>
      </c>
      <c r="D194" s="5">
        <v>29</v>
      </c>
      <c r="E194" s="5">
        <v>31</v>
      </c>
      <c r="F194" s="5">
        <v>6.8</v>
      </c>
      <c r="G194" s="48">
        <v>6.1328813500436681</v>
      </c>
      <c r="H194" s="48">
        <v>7.3920849161903348</v>
      </c>
      <c r="I194" s="48">
        <v>7.1602285468247571</v>
      </c>
      <c r="K194" s="5">
        <v>19</v>
      </c>
      <c r="AZ194" s="5">
        <v>34</v>
      </c>
      <c r="BA194" s="46">
        <v>45422</v>
      </c>
      <c r="BB194" s="5">
        <v>252000</v>
      </c>
      <c r="BC194" s="5">
        <v>27</v>
      </c>
      <c r="BD194" s="5">
        <v>31</v>
      </c>
      <c r="BE194" s="5">
        <v>7.1</v>
      </c>
      <c r="BF194" s="48">
        <v>5.6295942558503924</v>
      </c>
      <c r="BG194" s="48">
        <v>7.2678804649081643</v>
      </c>
      <c r="BH194" s="48">
        <v>7.4292351621653241</v>
      </c>
      <c r="BJ194" s="5">
        <v>23</v>
      </c>
    </row>
    <row r="195" spans="1:62" x14ac:dyDescent="0.25">
      <c r="A195" s="5">
        <v>35</v>
      </c>
      <c r="B195" s="46">
        <v>45423</v>
      </c>
      <c r="C195" s="5">
        <v>252000</v>
      </c>
      <c r="D195" s="5">
        <v>28</v>
      </c>
      <c r="E195" s="5">
        <v>29</v>
      </c>
      <c r="F195" s="5">
        <v>5.8</v>
      </c>
      <c r="G195" s="48">
        <v>6.2363059242913987</v>
      </c>
      <c r="H195" s="48">
        <v>7.3263222543480637</v>
      </c>
      <c r="I195" s="48">
        <v>7.5048553799503273</v>
      </c>
      <c r="K195" s="5">
        <v>19</v>
      </c>
      <c r="AZ195" s="5">
        <v>35</v>
      </c>
      <c r="BA195" s="46">
        <v>45423</v>
      </c>
      <c r="BB195" s="5">
        <v>252000</v>
      </c>
      <c r="BC195" s="5">
        <v>28</v>
      </c>
      <c r="BD195" s="5">
        <v>29</v>
      </c>
      <c r="BE195" s="5">
        <v>6</v>
      </c>
      <c r="BF195" s="48">
        <v>6.9888499728577331</v>
      </c>
      <c r="BG195" s="48">
        <v>7.1039924798071024</v>
      </c>
      <c r="BH195" s="48">
        <v>7.2954249262221316</v>
      </c>
      <c r="BJ195" s="5">
        <v>25</v>
      </c>
    </row>
    <row r="196" spans="1:62" x14ac:dyDescent="0.25">
      <c r="A196" s="132" t="s">
        <v>123</v>
      </c>
      <c r="B196" s="132"/>
      <c r="C196" s="132"/>
      <c r="D196" s="132"/>
      <c r="E196" s="132"/>
      <c r="F196" s="132"/>
      <c r="G196" s="132"/>
      <c r="H196" s="132"/>
      <c r="I196" s="132"/>
      <c r="J196" s="132"/>
      <c r="K196" s="132"/>
      <c r="BB196" s="2"/>
      <c r="BC196" s="2"/>
      <c r="BD196" s="2"/>
      <c r="BE196" s="2"/>
      <c r="BF196" s="2"/>
      <c r="BG196" s="2"/>
      <c r="BH196" s="2"/>
      <c r="BI196" s="2"/>
      <c r="BJ196" s="2"/>
    </row>
    <row r="197" spans="1:62" x14ac:dyDescent="0.25">
      <c r="A197" s="5">
        <v>1</v>
      </c>
      <c r="B197" s="46">
        <v>45389</v>
      </c>
      <c r="C197" s="5">
        <v>252000</v>
      </c>
      <c r="D197" s="5">
        <v>26</v>
      </c>
      <c r="E197" s="5">
        <v>32</v>
      </c>
      <c r="F197" s="5">
        <v>6.7</v>
      </c>
      <c r="G197" s="48">
        <v>5.6243413603631716</v>
      </c>
      <c r="H197" s="48">
        <v>7.2522335044179549</v>
      </c>
      <c r="I197" s="48">
        <v>7.4125284839060255</v>
      </c>
      <c r="J197" s="5">
        <v>0.05</v>
      </c>
      <c r="K197" s="5">
        <v>19</v>
      </c>
      <c r="AZ197" s="5">
        <v>1</v>
      </c>
      <c r="BA197" s="46">
        <v>45389</v>
      </c>
      <c r="BB197" s="5">
        <v>252000</v>
      </c>
      <c r="BC197" s="5">
        <v>26</v>
      </c>
      <c r="BD197" s="5">
        <v>31</v>
      </c>
      <c r="BE197" s="5">
        <v>6</v>
      </c>
      <c r="BF197" s="48">
        <v>5.8496515466892127</v>
      </c>
      <c r="BG197" s="48">
        <v>7.5070058515434379</v>
      </c>
      <c r="BH197" s="48">
        <v>7.5979462884433051</v>
      </c>
      <c r="BI197" s="5">
        <v>7.0000000000000007E-2</v>
      </c>
      <c r="BJ197" s="5">
        <v>25</v>
      </c>
    </row>
    <row r="198" spans="1:62" x14ac:dyDescent="0.25">
      <c r="A198" s="5">
        <v>2</v>
      </c>
      <c r="B198" s="46">
        <v>45390</v>
      </c>
      <c r="C198" s="5">
        <v>252000</v>
      </c>
      <c r="D198" s="5">
        <v>27</v>
      </c>
      <c r="E198" s="5">
        <v>32</v>
      </c>
      <c r="F198" s="5">
        <v>6.8</v>
      </c>
      <c r="G198" s="48">
        <v>5.7840017716623198</v>
      </c>
      <c r="H198" s="48">
        <v>7.2691501736294972</v>
      </c>
      <c r="I198" s="48">
        <v>7.260005752243603</v>
      </c>
      <c r="K198" s="5">
        <v>22</v>
      </c>
      <c r="AZ198" s="5">
        <v>2</v>
      </c>
      <c r="BA198" s="46">
        <v>45390</v>
      </c>
      <c r="BB198" s="5">
        <v>252000</v>
      </c>
      <c r="BC198" s="5">
        <v>28</v>
      </c>
      <c r="BD198" s="5">
        <v>32</v>
      </c>
      <c r="BE198" s="5">
        <v>6.4</v>
      </c>
      <c r="BF198" s="48">
        <v>5.6959711259240908</v>
      </c>
      <c r="BG198" s="48">
        <v>7.2425993984622803</v>
      </c>
      <c r="BH198" s="48">
        <v>7.3217365366161342</v>
      </c>
      <c r="BJ198" s="5">
        <v>20</v>
      </c>
    </row>
    <row r="199" spans="1:62" x14ac:dyDescent="0.25">
      <c r="A199" s="5">
        <v>3</v>
      </c>
      <c r="B199" s="46">
        <v>45391</v>
      </c>
      <c r="C199" s="5">
        <v>252000</v>
      </c>
      <c r="D199" s="5">
        <v>26</v>
      </c>
      <c r="E199" s="5">
        <v>29</v>
      </c>
      <c r="F199" s="5">
        <v>5.7</v>
      </c>
      <c r="G199" s="48">
        <v>6.450962140591284</v>
      </c>
      <c r="H199" s="48">
        <v>7.338982467761169</v>
      </c>
      <c r="I199" s="48">
        <v>7.6233605561877269</v>
      </c>
      <c r="K199" s="5">
        <v>24</v>
      </c>
      <c r="AZ199" s="5">
        <v>3</v>
      </c>
      <c r="BA199" s="46">
        <v>45391</v>
      </c>
      <c r="BB199" s="5">
        <v>252000</v>
      </c>
      <c r="BC199" s="5">
        <v>29</v>
      </c>
      <c r="BD199" s="5">
        <v>30</v>
      </c>
      <c r="BE199" s="5">
        <v>6.1</v>
      </c>
      <c r="BF199" s="48">
        <v>6.6953210705435229</v>
      </c>
      <c r="BG199" s="48">
        <v>7.2088363815625955</v>
      </c>
      <c r="BH199" s="48">
        <v>7.7479165606186076</v>
      </c>
      <c r="BJ199" s="5">
        <v>19</v>
      </c>
    </row>
    <row r="200" spans="1:62" x14ac:dyDescent="0.25">
      <c r="A200" s="5">
        <v>4</v>
      </c>
      <c r="B200" s="46">
        <v>45392</v>
      </c>
      <c r="C200" s="5">
        <v>252000</v>
      </c>
      <c r="D200" s="5">
        <v>27</v>
      </c>
      <c r="E200" s="5">
        <v>32</v>
      </c>
      <c r="F200" s="5">
        <v>6.7</v>
      </c>
      <c r="G200" s="48">
        <v>6.768374812811925</v>
      </c>
      <c r="H200" s="48">
        <v>7.5321404996162222</v>
      </c>
      <c r="I200" s="48">
        <v>7.3130580502806497</v>
      </c>
      <c r="K200" s="5">
        <v>15</v>
      </c>
      <c r="AZ200" s="5">
        <v>4</v>
      </c>
      <c r="BA200" s="46">
        <v>45392</v>
      </c>
      <c r="BB200" s="5">
        <v>252000</v>
      </c>
      <c r="BC200" s="5">
        <v>27</v>
      </c>
      <c r="BD200" s="5">
        <v>32</v>
      </c>
      <c r="BE200" s="5">
        <v>7.1</v>
      </c>
      <c r="BF200" s="48">
        <v>6.2252948906860164</v>
      </c>
      <c r="BG200" s="48">
        <v>7.4753429312054935</v>
      </c>
      <c r="BH200" s="48">
        <v>7.1915961506915522</v>
      </c>
      <c r="BJ200" s="5">
        <v>19</v>
      </c>
    </row>
    <row r="201" spans="1:62" x14ac:dyDescent="0.25">
      <c r="A201" s="5">
        <v>5</v>
      </c>
      <c r="B201" s="46">
        <v>45393</v>
      </c>
      <c r="C201" s="5">
        <v>252000</v>
      </c>
      <c r="D201" s="5">
        <v>27</v>
      </c>
      <c r="E201" s="5">
        <v>30</v>
      </c>
      <c r="F201" s="5">
        <v>6.8</v>
      </c>
      <c r="G201" s="48">
        <v>6.3433218657260282</v>
      </c>
      <c r="H201" s="48">
        <v>7.5212757327983901</v>
      </c>
      <c r="I201" s="48">
        <v>7.706302921329458</v>
      </c>
      <c r="K201" s="5">
        <v>15</v>
      </c>
      <c r="AZ201" s="5">
        <v>5</v>
      </c>
      <c r="BA201" s="46">
        <v>45393</v>
      </c>
      <c r="BB201" s="5">
        <v>252000</v>
      </c>
      <c r="BC201" s="5">
        <v>26</v>
      </c>
      <c r="BD201" s="5">
        <v>30</v>
      </c>
      <c r="BE201" s="5">
        <v>6.3</v>
      </c>
      <c r="BF201" s="48">
        <v>5.8266797361067315</v>
      </c>
      <c r="BG201" s="48">
        <v>7.2311944606352041</v>
      </c>
      <c r="BH201" s="48">
        <v>7.4810606517393321</v>
      </c>
      <c r="BJ201" s="5">
        <v>19</v>
      </c>
    </row>
    <row r="202" spans="1:62" x14ac:dyDescent="0.25">
      <c r="A202" s="5">
        <v>6</v>
      </c>
      <c r="B202" s="46">
        <v>45394</v>
      </c>
      <c r="C202" s="5">
        <v>252000</v>
      </c>
      <c r="D202" s="5">
        <v>27</v>
      </c>
      <c r="E202" s="5">
        <v>30</v>
      </c>
      <c r="F202" s="5">
        <v>5.5</v>
      </c>
      <c r="G202" s="48">
        <v>5.5897606127688722</v>
      </c>
      <c r="H202" s="48">
        <v>7.6604538242650246</v>
      </c>
      <c r="I202" s="48">
        <v>7.4738777296399874</v>
      </c>
      <c r="K202" s="5">
        <v>22</v>
      </c>
      <c r="AZ202" s="5">
        <v>6</v>
      </c>
      <c r="BA202" s="46">
        <v>45394</v>
      </c>
      <c r="BB202" s="5">
        <v>252000</v>
      </c>
      <c r="BC202" s="5">
        <v>28</v>
      </c>
      <c r="BD202" s="5">
        <v>29</v>
      </c>
      <c r="BE202" s="5">
        <v>7.1</v>
      </c>
      <c r="BF202" s="48">
        <v>6.755749314729524</v>
      </c>
      <c r="BG202" s="48">
        <v>7.7496208193911338</v>
      </c>
      <c r="BH202" s="48">
        <v>7.3354124073778166</v>
      </c>
      <c r="BJ202" s="5">
        <v>23</v>
      </c>
    </row>
    <row r="203" spans="1:62" x14ac:dyDescent="0.25">
      <c r="A203" s="5">
        <v>7</v>
      </c>
      <c r="B203" s="46">
        <v>45395</v>
      </c>
      <c r="C203" s="5">
        <v>252000</v>
      </c>
      <c r="D203" s="5">
        <v>29</v>
      </c>
      <c r="E203" s="5">
        <v>29</v>
      </c>
      <c r="F203" s="5">
        <v>5.5</v>
      </c>
      <c r="G203" s="48">
        <v>5.5800987577964634</v>
      </c>
      <c r="H203" s="48">
        <v>7.7551092797388037</v>
      </c>
      <c r="I203" s="48">
        <v>7.1587411596963255</v>
      </c>
      <c r="K203" s="5">
        <v>18</v>
      </c>
      <c r="AZ203" s="5">
        <v>7</v>
      </c>
      <c r="BA203" s="46">
        <v>45395</v>
      </c>
      <c r="BB203" s="5">
        <v>252000</v>
      </c>
      <c r="BC203" s="5">
        <v>29</v>
      </c>
      <c r="BD203" s="5">
        <v>29</v>
      </c>
      <c r="BE203" s="5">
        <v>6.9</v>
      </c>
      <c r="BF203" s="48">
        <v>6.2254540696089364</v>
      </c>
      <c r="BG203" s="48">
        <v>7.3315342363129545</v>
      </c>
      <c r="BH203" s="48">
        <v>7.38733506955574</v>
      </c>
      <c r="BJ203" s="5">
        <v>19</v>
      </c>
    </row>
    <row r="204" spans="1:62" x14ac:dyDescent="0.25">
      <c r="A204" s="5">
        <v>8</v>
      </c>
      <c r="B204" s="46">
        <v>45396</v>
      </c>
      <c r="C204" s="5">
        <v>252000</v>
      </c>
      <c r="D204" s="5">
        <v>28</v>
      </c>
      <c r="E204" s="5">
        <v>32</v>
      </c>
      <c r="F204" s="5">
        <v>6.4</v>
      </c>
      <c r="G204" s="48">
        <v>6.6539072948507823</v>
      </c>
      <c r="H204" s="48">
        <v>7.1832252297700565</v>
      </c>
      <c r="I204" s="48">
        <v>7.1968768796163873</v>
      </c>
      <c r="K204" s="5">
        <v>18</v>
      </c>
      <c r="AZ204" s="5">
        <v>8</v>
      </c>
      <c r="BA204" s="46">
        <v>45396</v>
      </c>
      <c r="BB204" s="5">
        <v>252000</v>
      </c>
      <c r="BC204" s="5">
        <v>27</v>
      </c>
      <c r="BD204" s="5">
        <v>29</v>
      </c>
      <c r="BE204" s="5">
        <v>6.1</v>
      </c>
      <c r="BF204" s="48">
        <v>6.9674516120115202</v>
      </c>
      <c r="BG204" s="48">
        <v>7.2335918484077029</v>
      </c>
      <c r="BH204" s="48">
        <v>7.1572429997837537</v>
      </c>
      <c r="BJ204" s="5">
        <v>22</v>
      </c>
    </row>
    <row r="205" spans="1:62" x14ac:dyDescent="0.25">
      <c r="A205" s="5">
        <v>9</v>
      </c>
      <c r="B205" s="46">
        <v>45397</v>
      </c>
      <c r="C205" s="5">
        <v>252000</v>
      </c>
      <c r="D205" s="5">
        <v>26</v>
      </c>
      <c r="E205" s="5">
        <v>30</v>
      </c>
      <c r="F205" s="5">
        <v>6.1</v>
      </c>
      <c r="G205" s="48">
        <v>6.6566922439093519</v>
      </c>
      <c r="H205" s="48">
        <v>7.5941119080079504</v>
      </c>
      <c r="I205" s="48">
        <v>7.7065965047079183</v>
      </c>
      <c r="K205" s="5">
        <v>16</v>
      </c>
      <c r="AZ205" s="5">
        <v>9</v>
      </c>
      <c r="BA205" s="46">
        <v>45397</v>
      </c>
      <c r="BB205" s="5">
        <v>252000</v>
      </c>
      <c r="BC205" s="5">
        <v>26</v>
      </c>
      <c r="BD205" s="5">
        <v>31</v>
      </c>
      <c r="BE205" s="5">
        <v>5.7</v>
      </c>
      <c r="BF205" s="48">
        <v>6.2955291760447301</v>
      </c>
      <c r="BG205" s="48">
        <v>7.714383370808565</v>
      </c>
      <c r="BH205" s="48">
        <v>7.2185376213880064</v>
      </c>
      <c r="BJ205" s="5">
        <v>17</v>
      </c>
    </row>
    <row r="206" spans="1:62" x14ac:dyDescent="0.25">
      <c r="A206" s="5">
        <v>10</v>
      </c>
      <c r="B206" s="46">
        <v>45398</v>
      </c>
      <c r="C206" s="5">
        <v>252000</v>
      </c>
      <c r="D206" s="5">
        <v>26</v>
      </c>
      <c r="E206" s="5">
        <v>30</v>
      </c>
      <c r="F206" s="5">
        <v>5.7</v>
      </c>
      <c r="G206" s="48">
        <v>5.6752935904122843</v>
      </c>
      <c r="H206" s="48">
        <v>7.2190644568449125</v>
      </c>
      <c r="I206" s="48">
        <v>7.2279890317037339</v>
      </c>
      <c r="K206" s="5">
        <v>24</v>
      </c>
      <c r="AZ206" s="5">
        <v>10</v>
      </c>
      <c r="BA206" s="46">
        <v>45398</v>
      </c>
      <c r="BB206" s="5">
        <v>252000</v>
      </c>
      <c r="BC206" s="5">
        <v>26</v>
      </c>
      <c r="BD206" s="5">
        <v>31</v>
      </c>
      <c r="BE206" s="5">
        <v>6.3</v>
      </c>
      <c r="BF206" s="48">
        <v>5.8263539449550432</v>
      </c>
      <c r="BG206" s="48">
        <v>7.4076534620798329</v>
      </c>
      <c r="BH206" s="48">
        <v>7.1685862515894634</v>
      </c>
      <c r="BJ206" s="5">
        <v>19</v>
      </c>
    </row>
    <row r="207" spans="1:62" x14ac:dyDescent="0.25">
      <c r="A207" s="5">
        <v>11</v>
      </c>
      <c r="B207" s="46">
        <v>45399</v>
      </c>
      <c r="C207" s="5">
        <v>252000</v>
      </c>
      <c r="D207" s="5">
        <v>29</v>
      </c>
      <c r="E207" s="5">
        <v>29</v>
      </c>
      <c r="F207" s="5">
        <v>6.8</v>
      </c>
      <c r="G207" s="48">
        <v>6.7648296908779759</v>
      </c>
      <c r="H207" s="48">
        <v>7.1805477133466313</v>
      </c>
      <c r="I207" s="48">
        <v>7.5381356284641656</v>
      </c>
      <c r="K207" s="5">
        <v>17</v>
      </c>
      <c r="AZ207" s="5">
        <v>11</v>
      </c>
      <c r="BA207" s="46">
        <v>45399</v>
      </c>
      <c r="BB207" s="5">
        <v>252000</v>
      </c>
      <c r="BC207" s="5">
        <v>29</v>
      </c>
      <c r="BD207" s="5">
        <v>32</v>
      </c>
      <c r="BE207" s="5">
        <v>7</v>
      </c>
      <c r="BF207" s="48">
        <v>6.1704128015928204</v>
      </c>
      <c r="BG207" s="48">
        <v>7.4043763519075858</v>
      </c>
      <c r="BH207" s="48">
        <v>7.3810539275441158</v>
      </c>
      <c r="BJ207" s="5">
        <v>18</v>
      </c>
    </row>
    <row r="208" spans="1:62" x14ac:dyDescent="0.25">
      <c r="A208" s="5">
        <v>12</v>
      </c>
      <c r="B208" s="46">
        <v>45400</v>
      </c>
      <c r="C208" s="5">
        <v>252000</v>
      </c>
      <c r="D208" s="5">
        <v>29</v>
      </c>
      <c r="E208" s="5">
        <v>29</v>
      </c>
      <c r="F208" s="5">
        <v>5.6</v>
      </c>
      <c r="G208" s="48">
        <v>5.8346156282786392</v>
      </c>
      <c r="H208" s="48">
        <v>7.6654267359018347</v>
      </c>
      <c r="I208" s="48">
        <v>7.5683042664411158</v>
      </c>
      <c r="K208" s="5">
        <v>17</v>
      </c>
      <c r="AZ208" s="5">
        <v>12</v>
      </c>
      <c r="BA208" s="46">
        <v>45400</v>
      </c>
      <c r="BB208" s="5">
        <v>252000</v>
      </c>
      <c r="BC208" s="5">
        <v>29</v>
      </c>
      <c r="BD208" s="5">
        <v>32</v>
      </c>
      <c r="BE208" s="5">
        <v>7.1</v>
      </c>
      <c r="BF208" s="48">
        <v>7.185590093807698</v>
      </c>
      <c r="BG208" s="48">
        <v>7.2603196085525559</v>
      </c>
      <c r="BH208" s="48">
        <v>7.6988536576766977</v>
      </c>
      <c r="BJ208" s="5">
        <v>21</v>
      </c>
    </row>
    <row r="209" spans="1:62" x14ac:dyDescent="0.25">
      <c r="A209" s="5">
        <v>13</v>
      </c>
      <c r="B209" s="46">
        <v>45401</v>
      </c>
      <c r="C209" s="5">
        <v>252000</v>
      </c>
      <c r="D209" s="5">
        <v>29</v>
      </c>
      <c r="E209" s="5">
        <v>30</v>
      </c>
      <c r="F209" s="5">
        <v>5.5</v>
      </c>
      <c r="G209" s="48">
        <v>5.9955828484709874</v>
      </c>
      <c r="H209" s="48">
        <v>7.7948879277268484</v>
      </c>
      <c r="I209" s="48">
        <v>7.2680115299705355</v>
      </c>
      <c r="K209" s="5">
        <v>21</v>
      </c>
      <c r="AZ209" s="5">
        <v>13</v>
      </c>
      <c r="BA209" s="46">
        <v>45401</v>
      </c>
      <c r="BB209" s="5">
        <v>252000</v>
      </c>
      <c r="BC209" s="5">
        <v>26</v>
      </c>
      <c r="BD209" s="5">
        <v>31</v>
      </c>
      <c r="BE209" s="5">
        <v>5.9</v>
      </c>
      <c r="BF209" s="48">
        <v>5.9065675546769105</v>
      </c>
      <c r="BG209" s="48">
        <v>7.4186519105935806</v>
      </c>
      <c r="BH209" s="48">
        <v>7.4432085120214868</v>
      </c>
      <c r="BJ209" s="5">
        <v>22</v>
      </c>
    </row>
    <row r="210" spans="1:62" x14ac:dyDescent="0.25">
      <c r="A210" s="5">
        <v>14</v>
      </c>
      <c r="B210" s="46">
        <v>45402</v>
      </c>
      <c r="C210" s="5">
        <v>252000</v>
      </c>
      <c r="D210" s="5">
        <v>29</v>
      </c>
      <c r="E210" s="5">
        <v>32</v>
      </c>
      <c r="F210" s="5">
        <v>6.9</v>
      </c>
      <c r="G210" s="48">
        <v>6.8024157783005608</v>
      </c>
      <c r="H210" s="48">
        <v>7.6213023683936605</v>
      </c>
      <c r="I210" s="48">
        <v>7.6310214761028137</v>
      </c>
      <c r="K210" s="5">
        <v>15</v>
      </c>
      <c r="AZ210" s="5">
        <v>14</v>
      </c>
      <c r="BA210" s="46">
        <v>45402</v>
      </c>
      <c r="BB210" s="5">
        <v>252000</v>
      </c>
      <c r="BC210" s="5">
        <v>28</v>
      </c>
      <c r="BD210" s="5">
        <v>32</v>
      </c>
      <c r="BE210" s="5">
        <v>6.9</v>
      </c>
      <c r="BF210" s="48">
        <v>6.7371564596395155</v>
      </c>
      <c r="BG210" s="48">
        <v>7.3154274352416442</v>
      </c>
      <c r="BH210" s="48">
        <v>7.6840009403490575</v>
      </c>
      <c r="BJ210" s="5">
        <v>25</v>
      </c>
    </row>
    <row r="211" spans="1:62" x14ac:dyDescent="0.25">
      <c r="A211" s="5">
        <v>15</v>
      </c>
      <c r="B211" s="46">
        <v>45403</v>
      </c>
      <c r="C211" s="5">
        <v>252000</v>
      </c>
      <c r="D211" s="5">
        <v>26</v>
      </c>
      <c r="E211" s="5">
        <v>30</v>
      </c>
      <c r="F211" s="5">
        <v>6.5</v>
      </c>
      <c r="G211" s="48">
        <v>6.0887642299996916</v>
      </c>
      <c r="H211" s="48">
        <v>7.3432674911970865</v>
      </c>
      <c r="I211" s="48">
        <v>7.142823991605785</v>
      </c>
      <c r="K211" s="5">
        <v>15</v>
      </c>
      <c r="AZ211" s="5">
        <v>15</v>
      </c>
      <c r="BA211" s="46">
        <v>45403</v>
      </c>
      <c r="BB211" s="5">
        <v>252000</v>
      </c>
      <c r="BC211" s="5">
        <v>26</v>
      </c>
      <c r="BD211" s="5">
        <v>30</v>
      </c>
      <c r="BE211" s="5">
        <v>5.5</v>
      </c>
      <c r="BF211" s="48">
        <v>6.0192679143431462</v>
      </c>
      <c r="BG211" s="48">
        <v>7.3859412778650331</v>
      </c>
      <c r="BH211" s="48">
        <v>7.5148111569301426</v>
      </c>
      <c r="BI211" s="5">
        <v>0.08</v>
      </c>
      <c r="BJ211" s="5">
        <v>17</v>
      </c>
    </row>
    <row r="212" spans="1:62" x14ac:dyDescent="0.25">
      <c r="A212" s="5">
        <v>16</v>
      </c>
      <c r="B212" s="46">
        <v>45404</v>
      </c>
      <c r="C212" s="5">
        <v>252000</v>
      </c>
      <c r="D212" s="5">
        <v>29</v>
      </c>
      <c r="E212" s="5">
        <v>30</v>
      </c>
      <c r="F212" s="5">
        <v>7.1</v>
      </c>
      <c r="G212" s="48">
        <v>6.7868362309867898</v>
      </c>
      <c r="H212" s="48">
        <v>7.6545986777223805</v>
      </c>
      <c r="I212" s="48">
        <v>7.5732908158265708</v>
      </c>
      <c r="J212" s="5">
        <v>0.03</v>
      </c>
      <c r="K212" s="5">
        <v>18</v>
      </c>
      <c r="AZ212" s="5">
        <v>16</v>
      </c>
      <c r="BA212" s="46">
        <v>45404</v>
      </c>
      <c r="BB212" s="5">
        <v>252000</v>
      </c>
      <c r="BC212" s="5">
        <v>28</v>
      </c>
      <c r="BD212" s="5">
        <v>30</v>
      </c>
      <c r="BE212" s="5">
        <v>5.6</v>
      </c>
      <c r="BF212" s="48">
        <v>5.7939362853659659</v>
      </c>
      <c r="BG212" s="48">
        <v>7.3333831359272068</v>
      </c>
      <c r="BH212" s="48">
        <v>7.4031483273373988</v>
      </c>
      <c r="BJ212" s="5">
        <v>23</v>
      </c>
    </row>
    <row r="213" spans="1:62" x14ac:dyDescent="0.25">
      <c r="A213" s="5">
        <v>17</v>
      </c>
      <c r="B213" s="46">
        <v>45405</v>
      </c>
      <c r="C213" s="5">
        <v>252000</v>
      </c>
      <c r="D213" s="5">
        <v>28</v>
      </c>
      <c r="E213" s="5">
        <v>29</v>
      </c>
      <c r="F213" s="5">
        <v>6.5</v>
      </c>
      <c r="G213" s="48">
        <v>6.7441962770262043</v>
      </c>
      <c r="H213" s="48">
        <v>7.1634398068760383</v>
      </c>
      <c r="I213" s="48">
        <v>7.2167367812651317</v>
      </c>
      <c r="K213" s="5">
        <v>16</v>
      </c>
      <c r="AZ213" s="5">
        <v>17</v>
      </c>
      <c r="BA213" s="46">
        <v>45405</v>
      </c>
      <c r="BB213" s="5">
        <v>252000</v>
      </c>
      <c r="BC213" s="5">
        <v>28</v>
      </c>
      <c r="BD213" s="5">
        <v>30</v>
      </c>
      <c r="BE213" s="5">
        <v>6.6</v>
      </c>
      <c r="BF213" s="48">
        <v>6.3380664129041326</v>
      </c>
      <c r="BG213" s="48">
        <v>7.6719456860924229</v>
      </c>
      <c r="BH213" s="48">
        <v>7.2180969104478434</v>
      </c>
      <c r="BJ213" s="5">
        <v>16</v>
      </c>
    </row>
    <row r="214" spans="1:62" x14ac:dyDescent="0.25">
      <c r="A214" s="5">
        <v>18</v>
      </c>
      <c r="B214" s="46">
        <v>45406</v>
      </c>
      <c r="C214" s="5">
        <v>252000</v>
      </c>
      <c r="D214" s="5">
        <v>27</v>
      </c>
      <c r="E214" s="5">
        <v>31</v>
      </c>
      <c r="F214" s="5">
        <v>5.8</v>
      </c>
      <c r="G214" s="48">
        <v>6.6852496528152212</v>
      </c>
      <c r="H214" s="48">
        <v>7.5681346345608969</v>
      </c>
      <c r="I214" s="48">
        <v>7.6987617258141174</v>
      </c>
      <c r="K214" s="5">
        <v>18</v>
      </c>
      <c r="AZ214" s="5">
        <v>18</v>
      </c>
      <c r="BA214" s="46">
        <v>45406</v>
      </c>
      <c r="BB214" s="5">
        <v>252000</v>
      </c>
      <c r="BC214" s="5">
        <v>29</v>
      </c>
      <c r="BD214" s="5">
        <v>32</v>
      </c>
      <c r="BE214" s="5">
        <v>5.6</v>
      </c>
      <c r="BF214" s="48">
        <v>7.1456189596025661</v>
      </c>
      <c r="BG214" s="48">
        <v>7.7898710478626807</v>
      </c>
      <c r="BH214" s="48">
        <v>7.1367158004329161</v>
      </c>
      <c r="BJ214" s="5">
        <v>18</v>
      </c>
    </row>
    <row r="215" spans="1:62" x14ac:dyDescent="0.25">
      <c r="A215" s="5">
        <v>19</v>
      </c>
      <c r="B215" s="46">
        <v>45407</v>
      </c>
      <c r="C215" s="5">
        <v>252000</v>
      </c>
      <c r="D215" s="5">
        <v>29</v>
      </c>
      <c r="E215" s="5">
        <v>30</v>
      </c>
      <c r="F215" s="5">
        <v>5.8</v>
      </c>
      <c r="G215" s="48">
        <v>6.9224120337480324</v>
      </c>
      <c r="H215" s="48">
        <v>7.5952627611454888</v>
      </c>
      <c r="I215" s="48">
        <v>7.6536322436203443</v>
      </c>
      <c r="K215" s="5">
        <v>21</v>
      </c>
      <c r="AZ215" s="5">
        <v>19</v>
      </c>
      <c r="BA215" s="46">
        <v>45407</v>
      </c>
      <c r="BB215" s="5">
        <v>252000</v>
      </c>
      <c r="BC215" s="5">
        <v>26</v>
      </c>
      <c r="BD215" s="5">
        <v>29</v>
      </c>
      <c r="BE215" s="5">
        <v>6.4</v>
      </c>
      <c r="BF215" s="48">
        <v>6.0690285610160668</v>
      </c>
      <c r="BG215" s="48">
        <v>7.1405293806336125</v>
      </c>
      <c r="BH215" s="48">
        <v>7.4592105058882767</v>
      </c>
      <c r="BJ215" s="5">
        <v>18</v>
      </c>
    </row>
    <row r="216" spans="1:62" x14ac:dyDescent="0.25">
      <c r="A216" s="5">
        <v>20</v>
      </c>
      <c r="B216" s="46">
        <v>45408</v>
      </c>
      <c r="C216" s="5">
        <v>252000</v>
      </c>
      <c r="D216" s="5">
        <v>29</v>
      </c>
      <c r="E216" s="5">
        <v>29</v>
      </c>
      <c r="F216" s="5">
        <v>5.5</v>
      </c>
      <c r="G216" s="48">
        <v>5.8527871609108271</v>
      </c>
      <c r="H216" s="48">
        <v>7.5713438197701581</v>
      </c>
      <c r="I216" s="48">
        <v>7.7577319914759713</v>
      </c>
      <c r="K216" s="5">
        <v>23</v>
      </c>
      <c r="AZ216" s="5">
        <v>20</v>
      </c>
      <c r="BA216" s="46">
        <v>45408</v>
      </c>
      <c r="BB216" s="5">
        <v>252000</v>
      </c>
      <c r="BC216" s="5">
        <v>29</v>
      </c>
      <c r="BD216" s="5">
        <v>31</v>
      </c>
      <c r="BE216" s="5">
        <v>6.9</v>
      </c>
      <c r="BF216" s="48">
        <v>5.9688389818902881</v>
      </c>
      <c r="BG216" s="48">
        <v>7.3852814663999062</v>
      </c>
      <c r="BH216" s="48">
        <v>7.3863037036386912</v>
      </c>
      <c r="BJ216" s="5">
        <v>25</v>
      </c>
    </row>
    <row r="217" spans="1:62" x14ac:dyDescent="0.25">
      <c r="A217" s="5">
        <v>21</v>
      </c>
      <c r="B217" s="46">
        <v>45409</v>
      </c>
      <c r="C217" s="5">
        <v>252000</v>
      </c>
      <c r="D217" s="5">
        <v>27</v>
      </c>
      <c r="E217" s="5">
        <v>31</v>
      </c>
      <c r="F217" s="5">
        <v>6</v>
      </c>
      <c r="G217" s="48">
        <v>5.6039612482995116</v>
      </c>
      <c r="H217" s="48">
        <v>7.5713183542952978</v>
      </c>
      <c r="I217" s="48">
        <v>7.6277295353051642</v>
      </c>
      <c r="K217" s="5">
        <v>18</v>
      </c>
      <c r="AZ217" s="5">
        <v>21</v>
      </c>
      <c r="BA217" s="46">
        <v>45409</v>
      </c>
      <c r="BB217" s="5">
        <v>252000</v>
      </c>
      <c r="BC217" s="5">
        <v>29</v>
      </c>
      <c r="BD217" s="5">
        <v>32</v>
      </c>
      <c r="BE217" s="5">
        <v>6.7</v>
      </c>
      <c r="BF217" s="48">
        <v>6.4881990274608183</v>
      </c>
      <c r="BG217" s="48">
        <v>7.1251262278449916</v>
      </c>
      <c r="BH217" s="48">
        <v>7.2816147580264934</v>
      </c>
      <c r="BJ217" s="5">
        <v>25</v>
      </c>
    </row>
    <row r="218" spans="1:62" x14ac:dyDescent="0.25">
      <c r="A218" s="5">
        <v>22</v>
      </c>
      <c r="B218" s="46">
        <v>45410</v>
      </c>
      <c r="C218" s="5">
        <v>252000</v>
      </c>
      <c r="D218" s="5">
        <v>28</v>
      </c>
      <c r="E218" s="5">
        <v>31</v>
      </c>
      <c r="F218" s="5">
        <v>5.5</v>
      </c>
      <c r="G218" s="48">
        <v>6.9075163154017103</v>
      </c>
      <c r="H218" s="48">
        <v>7.3705950236612923</v>
      </c>
      <c r="I218" s="48">
        <v>7.1975824736056033</v>
      </c>
      <c r="K218" s="5">
        <v>15</v>
      </c>
      <c r="AZ218" s="5">
        <v>22</v>
      </c>
      <c r="BA218" s="46">
        <v>45410</v>
      </c>
      <c r="BB218" s="5">
        <v>252000</v>
      </c>
      <c r="BC218" s="5">
        <v>29</v>
      </c>
      <c r="BD218" s="5">
        <v>29</v>
      </c>
      <c r="BE218" s="5">
        <v>6.4</v>
      </c>
      <c r="BF218" s="48">
        <v>6.8880893268037831</v>
      </c>
      <c r="BG218" s="48">
        <v>7.2207116334880936</v>
      </c>
      <c r="BH218" s="48">
        <v>7.5987070797109988</v>
      </c>
      <c r="BJ218" s="5">
        <v>16</v>
      </c>
    </row>
    <row r="219" spans="1:62" x14ac:dyDescent="0.25">
      <c r="A219" s="5">
        <v>23</v>
      </c>
      <c r="B219" s="46">
        <v>45411</v>
      </c>
      <c r="C219" s="5">
        <v>252000</v>
      </c>
      <c r="D219" s="5">
        <v>27</v>
      </c>
      <c r="E219" s="5">
        <v>31</v>
      </c>
      <c r="F219" s="5">
        <v>6.1</v>
      </c>
      <c r="G219" s="48">
        <v>5.7634759833642262</v>
      </c>
      <c r="H219" s="48">
        <v>7.3581539013162711</v>
      </c>
      <c r="I219" s="48">
        <v>7.6001844861514005</v>
      </c>
      <c r="K219" s="5">
        <v>24</v>
      </c>
      <c r="AZ219" s="5">
        <v>23</v>
      </c>
      <c r="BA219" s="46">
        <v>45411</v>
      </c>
      <c r="BB219" s="5">
        <v>252000</v>
      </c>
      <c r="BC219" s="5">
        <v>26</v>
      </c>
      <c r="BD219" s="5">
        <v>29</v>
      </c>
      <c r="BE219" s="5">
        <v>6.6</v>
      </c>
      <c r="BF219" s="48">
        <v>7.1665994706851031</v>
      </c>
      <c r="BG219" s="48">
        <v>7.5430298527286599</v>
      </c>
      <c r="BH219" s="48">
        <v>7.4694723961129146</v>
      </c>
      <c r="BJ219" s="5">
        <v>20</v>
      </c>
    </row>
    <row r="220" spans="1:62" x14ac:dyDescent="0.25">
      <c r="A220" s="5">
        <v>24</v>
      </c>
      <c r="B220" s="46">
        <v>45412</v>
      </c>
      <c r="C220" s="5">
        <v>252000</v>
      </c>
      <c r="D220" s="5">
        <v>28</v>
      </c>
      <c r="E220" s="5">
        <v>30</v>
      </c>
      <c r="F220" s="5">
        <v>6.7</v>
      </c>
      <c r="G220" s="48">
        <v>6.3356149744346819</v>
      </c>
      <c r="H220" s="48">
        <v>7.4542360924567879</v>
      </c>
      <c r="I220" s="48">
        <v>7.5808448585134096</v>
      </c>
      <c r="K220" s="5">
        <v>22</v>
      </c>
      <c r="AZ220" s="5">
        <v>24</v>
      </c>
      <c r="BA220" s="46">
        <v>45412</v>
      </c>
      <c r="BB220" s="5">
        <v>252000</v>
      </c>
      <c r="BC220" s="5">
        <v>26</v>
      </c>
      <c r="BD220" s="5">
        <v>30</v>
      </c>
      <c r="BE220" s="5">
        <v>6</v>
      </c>
      <c r="BF220" s="48">
        <v>6.9729555119080135</v>
      </c>
      <c r="BG220" s="48">
        <v>7.4630149216858408</v>
      </c>
      <c r="BH220" s="48">
        <v>7.7462295299910435</v>
      </c>
      <c r="BJ220" s="5">
        <v>16</v>
      </c>
    </row>
    <row r="221" spans="1:62" x14ac:dyDescent="0.25">
      <c r="A221" s="5">
        <v>25</v>
      </c>
      <c r="B221" s="46">
        <v>45413</v>
      </c>
      <c r="C221" s="5">
        <v>252000</v>
      </c>
      <c r="D221" s="5">
        <v>28</v>
      </c>
      <c r="E221" s="5">
        <v>30</v>
      </c>
      <c r="F221" s="5">
        <v>6.1</v>
      </c>
      <c r="G221" s="48">
        <v>6.0635983451023368</v>
      </c>
      <c r="H221" s="48">
        <v>7.6329106990229132</v>
      </c>
      <c r="I221" s="48">
        <v>7.1788397590966886</v>
      </c>
      <c r="K221" s="5">
        <v>19</v>
      </c>
      <c r="AZ221" s="5">
        <v>25</v>
      </c>
      <c r="BA221" s="46">
        <v>45413</v>
      </c>
      <c r="BB221" s="5">
        <v>252000</v>
      </c>
      <c r="BC221" s="5">
        <v>27</v>
      </c>
      <c r="BD221" s="5">
        <v>29</v>
      </c>
      <c r="BE221" s="5">
        <v>5.7</v>
      </c>
      <c r="BF221" s="48">
        <v>6.5072680536884882</v>
      </c>
      <c r="BG221" s="48">
        <v>7.6934566389722567</v>
      </c>
      <c r="BH221" s="48">
        <v>7.293213841375513</v>
      </c>
      <c r="BJ221" s="5">
        <v>23</v>
      </c>
    </row>
    <row r="222" spans="1:62" x14ac:dyDescent="0.25">
      <c r="A222" s="5">
        <v>26</v>
      </c>
      <c r="B222" s="46">
        <v>45414</v>
      </c>
      <c r="C222" s="5">
        <v>252000</v>
      </c>
      <c r="D222" s="5">
        <v>27</v>
      </c>
      <c r="E222" s="5">
        <v>32</v>
      </c>
      <c r="F222" s="5">
        <v>6.5</v>
      </c>
      <c r="G222" s="48">
        <v>6.0078371017896668</v>
      </c>
      <c r="H222" s="48">
        <v>7.271036813208247</v>
      </c>
      <c r="I222" s="48">
        <v>7.7492049421568092</v>
      </c>
      <c r="K222" s="5">
        <v>16</v>
      </c>
      <c r="AZ222" s="5">
        <v>26</v>
      </c>
      <c r="BA222" s="46">
        <v>45414</v>
      </c>
      <c r="BB222" s="5">
        <v>252000</v>
      </c>
      <c r="BC222" s="5">
        <v>26</v>
      </c>
      <c r="BD222" s="5">
        <v>31</v>
      </c>
      <c r="BE222" s="5">
        <v>5.6</v>
      </c>
      <c r="BF222" s="48">
        <v>6.4837011566998104</v>
      </c>
      <c r="BG222" s="48">
        <v>7.5177501899120758</v>
      </c>
      <c r="BH222" s="48">
        <v>7.3339281191702872</v>
      </c>
      <c r="BJ222" s="5">
        <v>22</v>
      </c>
    </row>
    <row r="223" spans="1:62" x14ac:dyDescent="0.25">
      <c r="A223" s="5">
        <v>27</v>
      </c>
      <c r="B223" s="46">
        <v>45415</v>
      </c>
      <c r="C223" s="5">
        <v>252000</v>
      </c>
      <c r="D223" s="5">
        <v>28</v>
      </c>
      <c r="E223" s="5">
        <v>31</v>
      </c>
      <c r="F223" s="5">
        <v>6.2</v>
      </c>
      <c r="G223" s="48">
        <v>5.6742336560878837</v>
      </c>
      <c r="H223" s="48">
        <v>7.2497043564364665</v>
      </c>
      <c r="I223" s="48">
        <v>7.5023256691361695</v>
      </c>
      <c r="K223" s="5">
        <v>22</v>
      </c>
      <c r="AZ223" s="5">
        <v>27</v>
      </c>
      <c r="BA223" s="46">
        <v>45415</v>
      </c>
      <c r="BB223" s="5">
        <v>252000</v>
      </c>
      <c r="BC223" s="5">
        <v>28</v>
      </c>
      <c r="BD223" s="5">
        <v>29</v>
      </c>
      <c r="BE223" s="5">
        <v>6.4</v>
      </c>
      <c r="BF223" s="48">
        <v>5.5621079467350389</v>
      </c>
      <c r="BG223" s="48">
        <v>7.3495430501590997</v>
      </c>
      <c r="BH223" s="48">
        <v>7.152495316623158</v>
      </c>
      <c r="BJ223" s="5">
        <v>18</v>
      </c>
    </row>
    <row r="224" spans="1:62" x14ac:dyDescent="0.25">
      <c r="A224" s="5">
        <v>28</v>
      </c>
      <c r="B224" s="46">
        <v>45416</v>
      </c>
      <c r="C224" s="5">
        <v>252000</v>
      </c>
      <c r="D224" s="5">
        <v>26</v>
      </c>
      <c r="E224" s="5">
        <v>31</v>
      </c>
      <c r="F224" s="5">
        <v>6.5</v>
      </c>
      <c r="G224" s="48">
        <v>6.7571100564612792</v>
      </c>
      <c r="H224" s="48">
        <v>7.1219891192435245</v>
      </c>
      <c r="I224" s="48">
        <v>7.119432486247975</v>
      </c>
      <c r="K224" s="5">
        <v>21</v>
      </c>
      <c r="AZ224" s="5">
        <v>28</v>
      </c>
      <c r="BA224" s="46">
        <v>45416</v>
      </c>
      <c r="BB224" s="5">
        <v>252000</v>
      </c>
      <c r="BC224" s="5">
        <v>26</v>
      </c>
      <c r="BD224" s="5">
        <v>30</v>
      </c>
      <c r="BE224" s="5">
        <v>5.9</v>
      </c>
      <c r="BF224" s="48">
        <v>7.0274191664890573</v>
      </c>
      <c r="BG224" s="48">
        <v>7.472828699696259</v>
      </c>
      <c r="BH224" s="48">
        <v>7.3198557671148947</v>
      </c>
      <c r="BJ224" s="5">
        <v>19</v>
      </c>
    </row>
    <row r="225" spans="1:62" x14ac:dyDescent="0.25">
      <c r="A225" s="5">
        <v>29</v>
      </c>
      <c r="B225" s="46">
        <v>45417</v>
      </c>
      <c r="C225" s="5">
        <v>252000</v>
      </c>
      <c r="D225" s="5">
        <v>27</v>
      </c>
      <c r="E225" s="5">
        <v>31</v>
      </c>
      <c r="F225" s="5">
        <v>5.5</v>
      </c>
      <c r="G225" s="48">
        <v>5.7673085904537906</v>
      </c>
      <c r="H225" s="48">
        <v>7.5971812546995867</v>
      </c>
      <c r="I225" s="48">
        <v>7.3458264273817813</v>
      </c>
      <c r="J225" s="5">
        <v>7.0000000000000007E-2</v>
      </c>
      <c r="K225" s="5">
        <v>22</v>
      </c>
      <c r="AZ225" s="5">
        <v>29</v>
      </c>
      <c r="BA225" s="46">
        <v>45417</v>
      </c>
      <c r="BB225" s="5">
        <v>252000</v>
      </c>
      <c r="BC225" s="5">
        <v>27</v>
      </c>
      <c r="BD225" s="5">
        <v>31</v>
      </c>
      <c r="BE225" s="5">
        <v>5.6</v>
      </c>
      <c r="BF225" s="48">
        <v>6.2720085096958726</v>
      </c>
      <c r="BG225" s="48">
        <v>7.1395172530928663</v>
      </c>
      <c r="BH225" s="48">
        <v>7.4533479079842824</v>
      </c>
      <c r="BI225" s="5">
        <v>0.04</v>
      </c>
      <c r="BJ225" s="5">
        <v>25</v>
      </c>
    </row>
    <row r="226" spans="1:62" x14ac:dyDescent="0.25">
      <c r="A226" s="5">
        <v>30</v>
      </c>
      <c r="B226" s="46">
        <v>45418</v>
      </c>
      <c r="C226" s="5">
        <v>252000</v>
      </c>
      <c r="D226" s="5">
        <v>29</v>
      </c>
      <c r="E226" s="5">
        <v>31</v>
      </c>
      <c r="F226" s="5">
        <v>5.5</v>
      </c>
      <c r="G226" s="48">
        <v>6.6820151163787083</v>
      </c>
      <c r="H226" s="48">
        <v>7.1435250647751483</v>
      </c>
      <c r="I226" s="48">
        <v>7.1197112215553329</v>
      </c>
      <c r="K226" s="5">
        <v>17</v>
      </c>
      <c r="AZ226" s="5">
        <v>30</v>
      </c>
      <c r="BA226" s="46">
        <v>45418</v>
      </c>
      <c r="BB226" s="5">
        <v>252000</v>
      </c>
      <c r="BC226" s="5">
        <v>29</v>
      </c>
      <c r="BD226" s="5">
        <v>30</v>
      </c>
      <c r="BE226" s="5">
        <v>6.2</v>
      </c>
      <c r="BF226" s="48">
        <v>5.5376696960276313</v>
      </c>
      <c r="BG226" s="48">
        <v>7.7684372352938258</v>
      </c>
      <c r="BH226" s="48">
        <v>7.1708741540661176</v>
      </c>
      <c r="BJ226" s="5">
        <v>22</v>
      </c>
    </row>
    <row r="227" spans="1:62" x14ac:dyDescent="0.25">
      <c r="A227" s="5">
        <v>31</v>
      </c>
      <c r="B227" s="46">
        <v>45419</v>
      </c>
      <c r="C227" s="5">
        <v>252000</v>
      </c>
      <c r="D227" s="5">
        <v>27</v>
      </c>
      <c r="E227" s="5">
        <v>32</v>
      </c>
      <c r="F227" s="5">
        <v>5.6</v>
      </c>
      <c r="G227" s="48">
        <v>5.9173070604437239</v>
      </c>
      <c r="H227" s="48">
        <v>7.1831091692540969</v>
      </c>
      <c r="I227" s="48">
        <v>7.1317045860052284</v>
      </c>
      <c r="K227" s="5">
        <v>17</v>
      </c>
      <c r="AZ227" s="5">
        <v>31</v>
      </c>
      <c r="BA227" s="46">
        <v>45419</v>
      </c>
      <c r="BB227" s="5">
        <v>252000</v>
      </c>
      <c r="BC227" s="5">
        <v>28</v>
      </c>
      <c r="BD227" s="5">
        <v>30</v>
      </c>
      <c r="BE227" s="5">
        <v>5.5</v>
      </c>
      <c r="BF227" s="48">
        <v>6.7341937315401204</v>
      </c>
      <c r="BG227" s="48">
        <v>7.1071946708481608</v>
      </c>
      <c r="BH227" s="48">
        <v>7.647303850241248</v>
      </c>
      <c r="BJ227" s="5">
        <v>20</v>
      </c>
    </row>
    <row r="228" spans="1:62" x14ac:dyDescent="0.25">
      <c r="A228" s="5">
        <v>32</v>
      </c>
      <c r="B228" s="46">
        <v>45420</v>
      </c>
      <c r="C228" s="5">
        <v>252000</v>
      </c>
      <c r="D228" s="5">
        <v>29</v>
      </c>
      <c r="E228" s="5">
        <v>32</v>
      </c>
      <c r="F228" s="5">
        <v>6.3</v>
      </c>
      <c r="G228" s="48">
        <v>6.5548737898877931</v>
      </c>
      <c r="H228" s="48">
        <v>7.2245071618995116</v>
      </c>
      <c r="I228" s="48">
        <v>7.1267593893124115</v>
      </c>
      <c r="K228" s="5">
        <v>24</v>
      </c>
      <c r="AZ228" s="5">
        <v>32</v>
      </c>
      <c r="BA228" s="46">
        <v>45420</v>
      </c>
      <c r="BB228" s="5">
        <v>252000</v>
      </c>
      <c r="BC228" s="5">
        <v>28</v>
      </c>
      <c r="BD228" s="5">
        <v>31</v>
      </c>
      <c r="BE228" s="5">
        <v>6</v>
      </c>
      <c r="BF228" s="48">
        <v>5.9278869502665668</v>
      </c>
      <c r="BG228" s="48">
        <v>7.353719891222803</v>
      </c>
      <c r="BH228" s="48">
        <v>7.6445824621572758</v>
      </c>
      <c r="BJ228" s="5">
        <v>21</v>
      </c>
    </row>
    <row r="229" spans="1:62" x14ac:dyDescent="0.25">
      <c r="A229" s="5">
        <v>33</v>
      </c>
      <c r="B229" s="46">
        <v>45421</v>
      </c>
      <c r="C229" s="5">
        <v>252000</v>
      </c>
      <c r="D229" s="5">
        <v>29</v>
      </c>
      <c r="E229" s="5">
        <v>30</v>
      </c>
      <c r="F229" s="5">
        <v>5.7</v>
      </c>
      <c r="G229" s="48">
        <v>5.5092240990154853</v>
      </c>
      <c r="H229" s="48">
        <v>7.7316720674870263</v>
      </c>
      <c r="I229" s="48">
        <v>7.2463329403192454</v>
      </c>
      <c r="K229" s="5">
        <v>18</v>
      </c>
      <c r="AZ229" s="5">
        <v>33</v>
      </c>
      <c r="BA229" s="46">
        <v>45421</v>
      </c>
      <c r="BB229" s="5">
        <v>252000</v>
      </c>
      <c r="BC229" s="5">
        <v>28</v>
      </c>
      <c r="BD229" s="5">
        <v>32</v>
      </c>
      <c r="BE229" s="5">
        <v>6</v>
      </c>
      <c r="BF229" s="48">
        <v>5.9961770253495965</v>
      </c>
      <c r="BG229" s="48">
        <v>7.2322597176043653</v>
      </c>
      <c r="BH229" s="48">
        <v>7.5771941781912417</v>
      </c>
      <c r="BJ229" s="5">
        <v>19</v>
      </c>
    </row>
    <row r="230" spans="1:62" x14ac:dyDescent="0.25">
      <c r="A230" s="5">
        <v>34</v>
      </c>
      <c r="B230" s="46">
        <v>45422</v>
      </c>
      <c r="C230" s="5">
        <v>252000</v>
      </c>
      <c r="D230" s="5">
        <v>27</v>
      </c>
      <c r="E230" s="5">
        <v>32</v>
      </c>
      <c r="F230" s="5">
        <v>6.6</v>
      </c>
      <c r="G230" s="48">
        <v>6.3110115786313346</v>
      </c>
      <c r="H230" s="48">
        <v>7.5396211380173046</v>
      </c>
      <c r="I230" s="48">
        <v>7.6999526470148378</v>
      </c>
      <c r="K230" s="5">
        <v>25</v>
      </c>
      <c r="AZ230" s="5">
        <v>34</v>
      </c>
      <c r="BA230" s="46">
        <v>45422</v>
      </c>
      <c r="BB230" s="5">
        <v>252000</v>
      </c>
      <c r="BC230" s="5">
        <v>27</v>
      </c>
      <c r="BD230" s="5">
        <v>30</v>
      </c>
      <c r="BE230" s="5">
        <v>7</v>
      </c>
      <c r="BF230" s="48">
        <v>6.4952728226650516</v>
      </c>
      <c r="BG230" s="48">
        <v>7.6487131382669986</v>
      </c>
      <c r="BH230" s="48">
        <v>7.2369431105152797</v>
      </c>
      <c r="BJ230" s="5">
        <v>23</v>
      </c>
    </row>
    <row r="231" spans="1:62" x14ac:dyDescent="0.25">
      <c r="A231" s="5">
        <v>35</v>
      </c>
      <c r="B231" s="46">
        <v>45423</v>
      </c>
      <c r="C231" s="5">
        <v>252000</v>
      </c>
      <c r="D231" s="5">
        <v>28</v>
      </c>
      <c r="E231" s="5">
        <v>29</v>
      </c>
      <c r="F231" s="5">
        <v>7</v>
      </c>
      <c r="G231" s="48">
        <v>6.7749110193454891</v>
      </c>
      <c r="H231" s="48">
        <v>7.6231595459471615</v>
      </c>
      <c r="I231" s="48">
        <v>7.2516718231920771</v>
      </c>
      <c r="K231" s="5">
        <v>20</v>
      </c>
      <c r="AZ231" s="5">
        <v>35</v>
      </c>
      <c r="BA231" s="46">
        <v>45423</v>
      </c>
      <c r="BB231" s="5">
        <v>252000</v>
      </c>
      <c r="BC231" s="5">
        <v>26</v>
      </c>
      <c r="BD231" s="5">
        <v>30</v>
      </c>
      <c r="BE231" s="5">
        <v>5.5</v>
      </c>
      <c r="BF231" s="48">
        <v>6.5715577197483368</v>
      </c>
      <c r="BG231" s="48">
        <v>7.719259744751036</v>
      </c>
      <c r="BH231" s="48">
        <v>7.6262164340241654</v>
      </c>
      <c r="BJ231" s="5">
        <v>18</v>
      </c>
    </row>
    <row r="232" spans="1:62" x14ac:dyDescent="0.25">
      <c r="BC232" s="5">
        <f>AVERAGE(BC53:BC231)</f>
        <v>27.474285714285713</v>
      </c>
      <c r="BE232" s="5">
        <f>AVERAGE(BE53:BE231)</f>
        <v>6.2388571428571424</v>
      </c>
      <c r="BG232" s="48">
        <f>AVERAGE(BG53:BG231)</f>
        <v>7.4426606806435274</v>
      </c>
      <c r="BI232" s="5">
        <f>AVERAGE(BI53:BI225)</f>
        <v>5.1333333333333342E-2</v>
      </c>
      <c r="BJ232" s="5">
        <f>AVERAGE(BJ53:BJ231)</f>
        <v>20.239999999999998</v>
      </c>
    </row>
  </sheetData>
  <mergeCells count="85">
    <mergeCell ref="CW3:CW4"/>
    <mergeCell ref="BV2:CE2"/>
    <mergeCell ref="BW3:BX3"/>
    <mergeCell ref="CS3:CT3"/>
    <mergeCell ref="C2:L2"/>
    <mergeCell ref="CU3:CV3"/>
    <mergeCell ref="CF2:CN2"/>
    <mergeCell ref="CP2:CX2"/>
    <mergeCell ref="Z3:AA3"/>
    <mergeCell ref="AB3:AC3"/>
    <mergeCell ref="AD3:AD4"/>
    <mergeCell ref="AN3:AN4"/>
    <mergeCell ref="AX3:AX4"/>
    <mergeCell ref="AV3:AW3"/>
    <mergeCell ref="AH3:AI3"/>
    <mergeCell ref="AJ3:AK3"/>
    <mergeCell ref="CX3:CX4"/>
    <mergeCell ref="BV3:BV4"/>
    <mergeCell ref="BB3:BB4"/>
    <mergeCell ref="BC3:BD3"/>
    <mergeCell ref="BE3:BF3"/>
    <mergeCell ref="BG3:BH3"/>
    <mergeCell ref="BL3:BL4"/>
    <mergeCell ref="BO3:BP3"/>
    <mergeCell ref="BQ3:BR3"/>
    <mergeCell ref="BI3:BI4"/>
    <mergeCell ref="BS3:BS4"/>
    <mergeCell ref="BY3:BZ3"/>
    <mergeCell ref="BM3:BN3"/>
    <mergeCell ref="CP3:CP4"/>
    <mergeCell ref="CQ3:CR3"/>
    <mergeCell ref="CF3:CF4"/>
    <mergeCell ref="A1:CP1"/>
    <mergeCell ref="A2:A4"/>
    <mergeCell ref="CN3:CN4"/>
    <mergeCell ref="CD3:CD4"/>
    <mergeCell ref="U3:U4"/>
    <mergeCell ref="AE3:AE4"/>
    <mergeCell ref="AO3:AO4"/>
    <mergeCell ref="AY3:AY4"/>
    <mergeCell ref="BJ3:BJ4"/>
    <mergeCell ref="BT3:BT4"/>
    <mergeCell ref="B2:B4"/>
    <mergeCell ref="C3:C4"/>
    <mergeCell ref="AQ2:BA2"/>
    <mergeCell ref="BB2:BK2"/>
    <mergeCell ref="K3:K4"/>
    <mergeCell ref="T3:T4"/>
    <mergeCell ref="AG3:AG4"/>
    <mergeCell ref="C21:CX51"/>
    <mergeCell ref="M3:M4"/>
    <mergeCell ref="J3:J4"/>
    <mergeCell ref="M2:V2"/>
    <mergeCell ref="W2:AF2"/>
    <mergeCell ref="X3:Y3"/>
    <mergeCell ref="N3:O3"/>
    <mergeCell ref="P3:Q3"/>
    <mergeCell ref="D3:E3"/>
    <mergeCell ref="F3:G3"/>
    <mergeCell ref="H3:I3"/>
    <mergeCell ref="AG2:AP2"/>
    <mergeCell ref="BL2:BU2"/>
    <mergeCell ref="R3:S3"/>
    <mergeCell ref="W3:W4"/>
    <mergeCell ref="AL3:AM3"/>
    <mergeCell ref="AQ3:AQ4"/>
    <mergeCell ref="AR3:AS3"/>
    <mergeCell ref="AT3:AU3"/>
    <mergeCell ref="CA3:CB3"/>
    <mergeCell ref="CG3:CH3"/>
    <mergeCell ref="CC3:CC4"/>
    <mergeCell ref="CM3:CM4"/>
    <mergeCell ref="CI3:CJ3"/>
    <mergeCell ref="CK3:CL3"/>
    <mergeCell ref="A124:K124"/>
    <mergeCell ref="A160:K160"/>
    <mergeCell ref="A196:K196"/>
    <mergeCell ref="BB52:BJ52"/>
    <mergeCell ref="Z91:AD91"/>
    <mergeCell ref="A52:K52"/>
    <mergeCell ref="A88:K88"/>
    <mergeCell ref="N90:O90"/>
    <mergeCell ref="Q90:S90"/>
    <mergeCell ref="P91:V91"/>
    <mergeCell ref="Q104:W10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1B31-5D14-4030-8BB2-065C4C212FD6}">
  <dimension ref="A1:CA110"/>
  <sheetViews>
    <sheetView zoomScale="79" zoomScaleNormal="85" workbookViewId="0">
      <selection activeCell="AY20" sqref="AY20"/>
    </sheetView>
  </sheetViews>
  <sheetFormatPr defaultRowHeight="14.4" x14ac:dyDescent="0.3"/>
  <cols>
    <col min="9" max="11" width="12.109375" customWidth="1"/>
    <col min="12" max="12" width="11.5546875" customWidth="1"/>
    <col min="13" max="14" width="10.44140625" bestFit="1" customWidth="1"/>
    <col min="20" max="21" width="15.5546875" customWidth="1"/>
    <col min="25" max="25" width="16.33203125" customWidth="1"/>
    <col min="26" max="26" width="17.109375" customWidth="1"/>
  </cols>
  <sheetData>
    <row r="1" spans="3:62" x14ac:dyDescent="0.3">
      <c r="AZ1" s="157" t="s">
        <v>57</v>
      </c>
      <c r="BA1" s="156" t="s">
        <v>119</v>
      </c>
      <c r="BB1" s="156"/>
      <c r="BC1" s="156" t="s">
        <v>120</v>
      </c>
      <c r="BD1" s="156"/>
      <c r="BE1" s="156" t="s">
        <v>121</v>
      </c>
      <c r="BF1" s="156"/>
      <c r="BG1" s="156" t="s">
        <v>122</v>
      </c>
      <c r="BH1" s="156"/>
      <c r="BI1" s="156" t="s">
        <v>123</v>
      </c>
      <c r="BJ1" s="156"/>
    </row>
    <row r="2" spans="3:62" x14ac:dyDescent="0.3">
      <c r="C2" s="159" t="s">
        <v>169</v>
      </c>
      <c r="D2" s="133" t="s">
        <v>41</v>
      </c>
      <c r="E2" s="133"/>
      <c r="F2" s="133"/>
      <c r="G2" s="41"/>
      <c r="H2" s="158" t="s">
        <v>43</v>
      </c>
      <c r="I2" s="158"/>
      <c r="J2" s="158"/>
      <c r="K2" s="158"/>
      <c r="L2" s="158"/>
      <c r="M2" s="158"/>
      <c r="N2" s="62"/>
      <c r="O2" s="158" t="s">
        <v>147</v>
      </c>
      <c r="P2" s="158"/>
      <c r="Q2" s="158"/>
      <c r="S2" s="158" t="s">
        <v>44</v>
      </c>
      <c r="T2" s="158"/>
      <c r="U2" s="158"/>
      <c r="V2" s="158"/>
      <c r="X2" s="133" t="s">
        <v>45</v>
      </c>
      <c r="Y2" s="133"/>
      <c r="Z2" s="133"/>
      <c r="AA2" s="133"/>
      <c r="AC2" s="156" t="s">
        <v>174</v>
      </c>
      <c r="AD2" s="156"/>
      <c r="AE2" s="156"/>
      <c r="AG2" s="5"/>
      <c r="AH2" s="132" t="s">
        <v>188</v>
      </c>
      <c r="AI2" s="132"/>
      <c r="AJ2" s="132"/>
      <c r="AK2" s="132"/>
      <c r="AL2" s="132"/>
      <c r="AM2" s="132"/>
      <c r="AN2" s="132"/>
      <c r="AO2" s="5"/>
      <c r="AQ2" s="5"/>
      <c r="AR2" s="132" t="s">
        <v>188</v>
      </c>
      <c r="AS2" s="132"/>
      <c r="AT2" s="132"/>
      <c r="AU2" s="132"/>
      <c r="AV2" s="132"/>
      <c r="AW2" s="132"/>
      <c r="AX2" s="132"/>
      <c r="AY2" s="5"/>
      <c r="AZ2" s="157"/>
      <c r="BA2" t="s">
        <v>185</v>
      </c>
      <c r="BB2" t="s">
        <v>186</v>
      </c>
      <c r="BC2" t="s">
        <v>185</v>
      </c>
      <c r="BD2" t="s">
        <v>186</v>
      </c>
      <c r="BE2" t="s">
        <v>185</v>
      </c>
      <c r="BF2" t="s">
        <v>186</v>
      </c>
      <c r="BG2" t="s">
        <v>185</v>
      </c>
      <c r="BH2" t="s">
        <v>186</v>
      </c>
      <c r="BI2" t="s">
        <v>185</v>
      </c>
      <c r="BJ2" t="s">
        <v>186</v>
      </c>
    </row>
    <row r="3" spans="3:62" x14ac:dyDescent="0.3">
      <c r="C3" s="159"/>
      <c r="D3" s="41" t="s">
        <v>144</v>
      </c>
      <c r="E3" s="41" t="s">
        <v>145</v>
      </c>
      <c r="F3" s="41" t="s">
        <v>146</v>
      </c>
      <c r="G3" s="41"/>
      <c r="H3" s="41" t="s">
        <v>144</v>
      </c>
      <c r="I3" s="62" t="s">
        <v>126</v>
      </c>
      <c r="J3" s="41" t="s">
        <v>146</v>
      </c>
      <c r="K3" s="41" t="s">
        <v>144</v>
      </c>
      <c r="L3" s="62" t="s">
        <v>127</v>
      </c>
      <c r="M3" s="41" t="s">
        <v>146</v>
      </c>
      <c r="N3" s="62"/>
      <c r="O3" s="61" t="s">
        <v>144</v>
      </c>
      <c r="P3" s="61" t="s">
        <v>145</v>
      </c>
      <c r="Q3" s="61" t="s">
        <v>146</v>
      </c>
      <c r="S3" s="61" t="s">
        <v>144</v>
      </c>
      <c r="T3" s="61" t="s">
        <v>126</v>
      </c>
      <c r="U3" s="61" t="s">
        <v>127</v>
      </c>
      <c r="V3" s="61" t="s">
        <v>146</v>
      </c>
      <c r="X3" s="61" t="s">
        <v>144</v>
      </c>
      <c r="Y3" s="41" t="s">
        <v>126</v>
      </c>
      <c r="Z3" s="41" t="s">
        <v>127</v>
      </c>
      <c r="AA3" s="61" t="s">
        <v>146</v>
      </c>
      <c r="AC3" t="s">
        <v>144</v>
      </c>
      <c r="AD3" t="s">
        <v>175</v>
      </c>
      <c r="AE3" t="s">
        <v>146</v>
      </c>
      <c r="AG3" s="5"/>
      <c r="AH3" s="41">
        <v>1</v>
      </c>
      <c r="AI3" s="41">
        <v>2</v>
      </c>
      <c r="AJ3" s="5">
        <v>3</v>
      </c>
      <c r="AK3" s="41">
        <v>4</v>
      </c>
      <c r="AL3" s="41">
        <v>5</v>
      </c>
      <c r="AM3" s="41">
        <v>6</v>
      </c>
      <c r="AN3" s="41">
        <v>7</v>
      </c>
      <c r="AO3" s="41">
        <v>8</v>
      </c>
      <c r="AQ3" s="5"/>
      <c r="AR3" s="41">
        <v>1</v>
      </c>
      <c r="AS3" s="41">
        <v>2</v>
      </c>
      <c r="AT3" s="5">
        <v>3</v>
      </c>
      <c r="AU3" s="41">
        <v>4</v>
      </c>
      <c r="AV3" s="41">
        <v>5</v>
      </c>
      <c r="AW3" s="41">
        <v>6</v>
      </c>
      <c r="AX3" s="41">
        <v>7</v>
      </c>
      <c r="AY3" s="41">
        <v>8</v>
      </c>
      <c r="AZ3" s="59">
        <v>7</v>
      </c>
      <c r="BA3" s="64">
        <v>7.1672508149485656</v>
      </c>
      <c r="BB3" s="59">
        <v>6.4</v>
      </c>
      <c r="BC3" s="48">
        <v>5.6847785691941084</v>
      </c>
      <c r="BD3" s="59">
        <v>6.6</v>
      </c>
      <c r="BE3" s="48">
        <v>6.1885881814200419</v>
      </c>
      <c r="BF3" s="59">
        <v>5.8</v>
      </c>
      <c r="BG3" s="48">
        <v>5.6236559016358818</v>
      </c>
      <c r="BH3" s="59">
        <v>6.3</v>
      </c>
      <c r="BI3" s="48">
        <v>6.2729132204660027</v>
      </c>
      <c r="BJ3" s="59">
        <v>6.6</v>
      </c>
    </row>
    <row r="4" spans="3:62" x14ac:dyDescent="0.3">
      <c r="C4" s="61">
        <v>89</v>
      </c>
      <c r="D4" s="41">
        <v>15</v>
      </c>
      <c r="E4" s="5">
        <v>21</v>
      </c>
      <c r="F4" s="41">
        <v>25</v>
      </c>
      <c r="G4" s="41"/>
      <c r="H4" s="61" t="s">
        <v>170</v>
      </c>
      <c r="I4" s="59">
        <v>7.5</v>
      </c>
      <c r="J4" s="61" t="s">
        <v>171</v>
      </c>
      <c r="K4" s="61" t="s">
        <v>171</v>
      </c>
      <c r="L4" s="75">
        <v>7.7</v>
      </c>
      <c r="M4" s="61" t="s">
        <v>172</v>
      </c>
      <c r="O4" s="61">
        <v>25</v>
      </c>
      <c r="P4" s="59">
        <v>30</v>
      </c>
      <c r="Q4" s="61">
        <v>40</v>
      </c>
      <c r="S4" s="61">
        <v>4</v>
      </c>
      <c r="T4" s="59">
        <v>7</v>
      </c>
      <c r="U4" s="59">
        <v>6.4</v>
      </c>
      <c r="V4" s="61">
        <v>10</v>
      </c>
      <c r="X4" s="61">
        <v>27</v>
      </c>
      <c r="Y4">
        <v>27</v>
      </c>
      <c r="Z4" s="5">
        <v>32</v>
      </c>
      <c r="AA4" s="61">
        <v>32</v>
      </c>
      <c r="AC4" t="s">
        <v>176</v>
      </c>
      <c r="AD4" t="s">
        <v>178</v>
      </c>
      <c r="AE4" t="s">
        <v>177</v>
      </c>
      <c r="AG4" s="5" t="s">
        <v>119</v>
      </c>
      <c r="AH4" s="66">
        <v>7</v>
      </c>
      <c r="AI4" s="66">
        <v>6.8</v>
      </c>
      <c r="AJ4" s="66">
        <v>6.6</v>
      </c>
      <c r="AK4" s="66">
        <v>6.8</v>
      </c>
      <c r="AL4" s="66">
        <v>7</v>
      </c>
      <c r="AM4" s="66">
        <v>6.8</v>
      </c>
      <c r="AN4" s="66">
        <v>6.9</v>
      </c>
      <c r="AO4" s="66">
        <v>6.8</v>
      </c>
      <c r="AQ4" s="5" t="s">
        <v>119</v>
      </c>
      <c r="AR4" s="66">
        <v>6.4</v>
      </c>
      <c r="AS4" s="66">
        <v>6.2</v>
      </c>
      <c r="AT4" s="66">
        <v>6</v>
      </c>
      <c r="AU4" s="66">
        <v>6</v>
      </c>
      <c r="AV4" s="66">
        <v>6.3</v>
      </c>
      <c r="AW4" s="66">
        <v>6.2</v>
      </c>
      <c r="AX4" s="66">
        <v>5.9</v>
      </c>
      <c r="AY4" s="66">
        <v>5.9</v>
      </c>
      <c r="AZ4" s="59">
        <v>14</v>
      </c>
      <c r="BA4" s="48">
        <v>5.7504371603195299</v>
      </c>
      <c r="BB4" s="59">
        <v>6.1</v>
      </c>
      <c r="BC4" s="48">
        <v>5.840249472525902</v>
      </c>
      <c r="BD4" s="59">
        <v>7</v>
      </c>
      <c r="BE4" s="48">
        <v>6.1037857301925387</v>
      </c>
      <c r="BF4" s="59">
        <v>6.5</v>
      </c>
      <c r="BG4" s="48">
        <v>6.2109240673328099</v>
      </c>
      <c r="BH4" s="59">
        <v>5.9</v>
      </c>
      <c r="BI4" s="48">
        <v>5.9727989098896632</v>
      </c>
      <c r="BJ4" s="59">
        <v>7</v>
      </c>
    </row>
    <row r="5" spans="3:62" x14ac:dyDescent="0.3">
      <c r="C5" s="61">
        <v>90</v>
      </c>
      <c r="D5" s="41">
        <v>15</v>
      </c>
      <c r="E5" s="5">
        <v>23</v>
      </c>
      <c r="F5" s="41">
        <v>25</v>
      </c>
      <c r="G5" s="41"/>
      <c r="H5" s="61" t="s">
        <v>170</v>
      </c>
      <c r="I5" s="59">
        <v>7.4</v>
      </c>
      <c r="J5" s="61" t="s">
        <v>171</v>
      </c>
      <c r="K5" s="61" t="s">
        <v>171</v>
      </c>
      <c r="L5" s="75">
        <v>7.5</v>
      </c>
      <c r="M5" s="61" t="s">
        <v>172</v>
      </c>
      <c r="O5" s="61">
        <v>25</v>
      </c>
      <c r="P5" s="59">
        <v>34</v>
      </c>
      <c r="Q5" s="61">
        <v>40</v>
      </c>
      <c r="S5" s="61">
        <v>4</v>
      </c>
      <c r="T5" s="59">
        <v>6.6</v>
      </c>
      <c r="U5" s="59">
        <v>6.1</v>
      </c>
      <c r="V5" s="61">
        <v>10</v>
      </c>
      <c r="X5" s="61">
        <v>27</v>
      </c>
      <c r="Y5" s="5">
        <v>29</v>
      </c>
      <c r="Z5" s="5">
        <v>32</v>
      </c>
      <c r="AA5" s="61">
        <v>32</v>
      </c>
      <c r="AC5" t="s">
        <v>176</v>
      </c>
      <c r="AD5" t="s">
        <v>178</v>
      </c>
      <c r="AE5" t="s">
        <v>177</v>
      </c>
      <c r="AG5" s="5" t="s">
        <v>120</v>
      </c>
      <c r="AH5" s="48">
        <v>6.6</v>
      </c>
      <c r="AI5" s="48">
        <v>6.4</v>
      </c>
      <c r="AJ5" s="48">
        <v>6.8</v>
      </c>
      <c r="AK5" s="48">
        <v>7</v>
      </c>
      <c r="AL5" s="48">
        <v>7</v>
      </c>
      <c r="AM5" s="48">
        <v>6.6</v>
      </c>
      <c r="AN5" s="48">
        <v>6.9</v>
      </c>
      <c r="AO5" s="48">
        <v>7</v>
      </c>
      <c r="AQ5" s="5" t="s">
        <v>120</v>
      </c>
      <c r="AR5" s="48">
        <v>6.2</v>
      </c>
      <c r="AS5" s="48">
        <v>6.4</v>
      </c>
      <c r="AT5" s="48">
        <v>6.3</v>
      </c>
      <c r="AU5" s="48">
        <v>5.8</v>
      </c>
      <c r="AV5" s="48">
        <v>5.6</v>
      </c>
      <c r="AW5" s="48">
        <v>5.9</v>
      </c>
      <c r="AX5" s="48">
        <v>5.7</v>
      </c>
      <c r="AY5" s="48">
        <v>5.5</v>
      </c>
      <c r="AZ5" s="59">
        <v>21</v>
      </c>
      <c r="BA5" s="48">
        <v>6.8233693390514238</v>
      </c>
      <c r="BB5" s="59">
        <v>6</v>
      </c>
      <c r="BC5" s="48">
        <v>5.8540185335429014</v>
      </c>
      <c r="BD5" s="59">
        <v>6.3</v>
      </c>
      <c r="BE5" s="48">
        <v>6.6771041317364688</v>
      </c>
      <c r="BF5" s="59">
        <v>5.6</v>
      </c>
      <c r="BG5" s="48">
        <v>6.9797040857375245</v>
      </c>
      <c r="BH5" s="59">
        <v>6.5</v>
      </c>
      <c r="BI5" s="48">
        <v>7.0007927471277194</v>
      </c>
      <c r="BJ5" s="59">
        <v>6.3</v>
      </c>
    </row>
    <row r="6" spans="3:62" x14ac:dyDescent="0.3">
      <c r="C6" s="61">
        <v>91</v>
      </c>
      <c r="D6" s="41">
        <v>15</v>
      </c>
      <c r="E6" s="5">
        <v>21</v>
      </c>
      <c r="F6" s="41">
        <v>25</v>
      </c>
      <c r="G6" s="41"/>
      <c r="H6" s="61" t="s">
        <v>170</v>
      </c>
      <c r="I6" s="59">
        <v>7.4</v>
      </c>
      <c r="J6" s="61" t="s">
        <v>171</v>
      </c>
      <c r="K6" s="61" t="s">
        <v>171</v>
      </c>
      <c r="L6" s="75">
        <v>7.3</v>
      </c>
      <c r="M6" s="61" t="s">
        <v>172</v>
      </c>
      <c r="O6" s="61">
        <v>25</v>
      </c>
      <c r="P6" s="59">
        <v>37</v>
      </c>
      <c r="Q6" s="61">
        <v>40</v>
      </c>
      <c r="S6" s="61">
        <v>4</v>
      </c>
      <c r="T6" s="59">
        <v>6.4</v>
      </c>
      <c r="U6" s="59">
        <v>6</v>
      </c>
      <c r="V6" s="61">
        <v>10</v>
      </c>
      <c r="X6" s="61">
        <v>27</v>
      </c>
      <c r="Y6" s="5">
        <v>27</v>
      </c>
      <c r="Z6" s="5">
        <v>32</v>
      </c>
      <c r="AA6" s="61">
        <v>32</v>
      </c>
      <c r="AC6" t="s">
        <v>176</v>
      </c>
      <c r="AD6" t="s">
        <v>179</v>
      </c>
      <c r="AE6" t="s">
        <v>177</v>
      </c>
      <c r="AG6" s="5" t="s">
        <v>121</v>
      </c>
      <c r="AH6" s="66">
        <v>6.8</v>
      </c>
      <c r="AI6" s="66">
        <v>6.9</v>
      </c>
      <c r="AJ6" s="66">
        <v>6.8</v>
      </c>
      <c r="AK6" s="66">
        <v>6.8</v>
      </c>
      <c r="AL6" s="66">
        <v>6.8</v>
      </c>
      <c r="AM6" s="66">
        <v>6.9</v>
      </c>
      <c r="AN6" s="66">
        <v>7</v>
      </c>
      <c r="AO6" s="66">
        <v>6.7</v>
      </c>
      <c r="AQ6" s="5" t="s">
        <v>121</v>
      </c>
      <c r="AR6" s="66">
        <v>6</v>
      </c>
      <c r="AS6" s="66">
        <v>6.6</v>
      </c>
      <c r="AT6" s="66">
        <v>6.6</v>
      </c>
      <c r="AU6" s="66">
        <v>5.6</v>
      </c>
      <c r="AV6" s="66">
        <v>4.9000000000000004</v>
      </c>
      <c r="AW6" s="66">
        <v>5.6</v>
      </c>
      <c r="AX6" s="66">
        <v>5.5</v>
      </c>
      <c r="AY6" s="66">
        <v>5.0999999999999996</v>
      </c>
      <c r="AZ6" s="59">
        <v>28</v>
      </c>
      <c r="BA6" s="48">
        <v>7.0684351524599727</v>
      </c>
      <c r="BB6" s="59">
        <v>6.7</v>
      </c>
      <c r="BC6" s="48">
        <v>6.8143581067311079</v>
      </c>
      <c r="BD6" s="59">
        <v>6.6</v>
      </c>
      <c r="BE6" s="48">
        <v>6.9570228207146263</v>
      </c>
      <c r="BF6" s="59">
        <v>5.5</v>
      </c>
      <c r="BG6" s="48">
        <v>6.3889592255853866</v>
      </c>
      <c r="BH6" s="59">
        <v>6.4</v>
      </c>
      <c r="BI6" s="48">
        <v>6.6246320986579414</v>
      </c>
      <c r="BJ6" s="59">
        <v>6.6</v>
      </c>
    </row>
    <row r="7" spans="3:62" x14ac:dyDescent="0.3">
      <c r="C7" s="61">
        <v>92</v>
      </c>
      <c r="D7" s="41">
        <v>15</v>
      </c>
      <c r="E7" s="5">
        <v>21</v>
      </c>
      <c r="F7" s="41">
        <v>25</v>
      </c>
      <c r="G7" s="41"/>
      <c r="H7" s="61" t="s">
        <v>170</v>
      </c>
      <c r="I7" s="59">
        <v>7.4</v>
      </c>
      <c r="J7" s="61" t="s">
        <v>171</v>
      </c>
      <c r="K7" s="61" t="s">
        <v>171</v>
      </c>
      <c r="L7" s="75">
        <v>7.1</v>
      </c>
      <c r="M7" s="61" t="s">
        <v>172</v>
      </c>
      <c r="O7" s="61">
        <v>25</v>
      </c>
      <c r="P7" s="59">
        <v>26</v>
      </c>
      <c r="Q7" s="61">
        <v>40</v>
      </c>
      <c r="S7" s="61">
        <v>4</v>
      </c>
      <c r="T7" s="59">
        <v>6.2</v>
      </c>
      <c r="U7" s="59">
        <v>6.7</v>
      </c>
      <c r="V7" s="61">
        <v>10</v>
      </c>
      <c r="X7" s="61">
        <v>27</v>
      </c>
      <c r="Y7" s="5">
        <v>28</v>
      </c>
      <c r="Z7" s="5">
        <v>29</v>
      </c>
      <c r="AA7" s="61">
        <v>32</v>
      </c>
      <c r="AC7" t="s">
        <v>176</v>
      </c>
      <c r="AD7" t="s">
        <v>180</v>
      </c>
      <c r="AE7" t="s">
        <v>177</v>
      </c>
      <c r="AG7" s="5" t="s">
        <v>122</v>
      </c>
      <c r="AH7" s="66">
        <v>6.6</v>
      </c>
      <c r="AI7" s="66">
        <v>6.8</v>
      </c>
      <c r="AJ7" s="66">
        <v>6.93333333333333</v>
      </c>
      <c r="AK7" s="66">
        <v>6.8666666666666698</v>
      </c>
      <c r="AL7" s="66">
        <v>6.7333333333333298</v>
      </c>
      <c r="AM7" s="66">
        <v>6.8666666666666698</v>
      </c>
      <c r="AN7" s="66">
        <v>7.0333333333333297</v>
      </c>
      <c r="AO7" s="66">
        <v>6.7333333333333298</v>
      </c>
      <c r="AQ7" s="5" t="s">
        <v>122</v>
      </c>
      <c r="AR7" s="48">
        <v>5.8</v>
      </c>
      <c r="AS7" s="48">
        <v>6.8</v>
      </c>
      <c r="AT7" s="48">
        <v>6.9</v>
      </c>
      <c r="AU7" s="48">
        <v>5.4</v>
      </c>
      <c r="AV7" s="48">
        <v>4.7</v>
      </c>
      <c r="AW7" s="48">
        <v>5.3</v>
      </c>
      <c r="AX7" s="48">
        <v>5.3</v>
      </c>
      <c r="AY7" s="48">
        <v>4.7</v>
      </c>
      <c r="AZ7" s="59">
        <v>35</v>
      </c>
      <c r="BA7" s="48">
        <v>6.084383769454675</v>
      </c>
      <c r="BB7" s="59">
        <v>5.8</v>
      </c>
      <c r="BC7" s="48">
        <v>7.0179811499320834</v>
      </c>
      <c r="BD7" s="59">
        <v>6.8</v>
      </c>
      <c r="BE7" s="48">
        <v>6.346896650534414</v>
      </c>
      <c r="BF7" s="59">
        <v>6.9</v>
      </c>
      <c r="BG7" s="48">
        <v>5.9230301230260523</v>
      </c>
      <c r="BH7" s="59">
        <v>7</v>
      </c>
      <c r="BI7" s="48">
        <v>6.7107671877306432</v>
      </c>
      <c r="BJ7" s="59">
        <v>6.8</v>
      </c>
    </row>
    <row r="8" spans="3:62" x14ac:dyDescent="0.3">
      <c r="C8" s="61">
        <v>93</v>
      </c>
      <c r="D8" s="41">
        <v>15</v>
      </c>
      <c r="E8" s="5">
        <v>19</v>
      </c>
      <c r="F8" s="41">
        <v>25</v>
      </c>
      <c r="G8" s="41"/>
      <c r="H8" s="61" t="s">
        <v>170</v>
      </c>
      <c r="I8" s="59">
        <v>7.4</v>
      </c>
      <c r="J8" s="61" t="s">
        <v>171</v>
      </c>
      <c r="K8" s="61" t="s">
        <v>171</v>
      </c>
      <c r="L8" s="75">
        <v>7.6</v>
      </c>
      <c r="M8" s="61" t="s">
        <v>172</v>
      </c>
      <c r="O8" s="61">
        <v>25</v>
      </c>
      <c r="P8" s="59">
        <v>31</v>
      </c>
      <c r="Q8" s="61">
        <v>40</v>
      </c>
      <c r="S8" s="61">
        <v>4</v>
      </c>
      <c r="T8" s="59">
        <v>6.8</v>
      </c>
      <c r="U8" s="59">
        <v>5.8</v>
      </c>
      <c r="V8" s="61">
        <v>10</v>
      </c>
      <c r="X8" s="61">
        <v>27</v>
      </c>
      <c r="Y8" s="5">
        <v>27</v>
      </c>
      <c r="Z8" s="5">
        <v>29</v>
      </c>
      <c r="AA8" s="61">
        <v>32</v>
      </c>
      <c r="AC8" t="s">
        <v>176</v>
      </c>
      <c r="AD8" t="s">
        <v>179</v>
      </c>
      <c r="AE8" t="s">
        <v>177</v>
      </c>
      <c r="AG8" s="5" t="s">
        <v>123</v>
      </c>
      <c r="AH8" s="48">
        <v>6.5</v>
      </c>
      <c r="AI8" s="48">
        <v>6.85</v>
      </c>
      <c r="AJ8" s="48">
        <v>7.0333333333333297</v>
      </c>
      <c r="AK8" s="48">
        <v>6.8666666666666698</v>
      </c>
      <c r="AL8" s="48">
        <v>6.6333333333333302</v>
      </c>
      <c r="AM8" s="48">
        <v>6.9166666666666696</v>
      </c>
      <c r="AN8" s="48">
        <v>7.0833333333333304</v>
      </c>
      <c r="AO8" s="48">
        <v>6.68333333333333</v>
      </c>
      <c r="AQ8" s="5" t="s">
        <v>123</v>
      </c>
      <c r="AR8" s="66">
        <v>5.6</v>
      </c>
      <c r="AS8" s="66">
        <v>6.3</v>
      </c>
      <c r="AT8" s="66">
        <v>6.6</v>
      </c>
      <c r="AU8" s="66">
        <v>5.2</v>
      </c>
      <c r="AV8" s="66">
        <v>5.5</v>
      </c>
      <c r="AW8" s="66">
        <v>5</v>
      </c>
      <c r="AX8" s="66">
        <v>5.0999999999999996</v>
      </c>
      <c r="AY8" s="66">
        <v>5.3</v>
      </c>
      <c r="AZ8" s="59">
        <v>42</v>
      </c>
      <c r="BA8" s="48">
        <v>6.5221534461363211</v>
      </c>
      <c r="BB8" s="59">
        <v>6.4</v>
      </c>
      <c r="BC8" s="48">
        <v>6.5672386391736524</v>
      </c>
      <c r="BD8" s="59">
        <v>6.9</v>
      </c>
      <c r="BE8" s="48">
        <v>6.433553064268378</v>
      </c>
      <c r="BF8" s="59">
        <v>6.3</v>
      </c>
      <c r="BG8" s="48">
        <v>7.0905012290838689</v>
      </c>
      <c r="BH8" s="59">
        <v>6.3</v>
      </c>
      <c r="BI8" s="48">
        <v>5.6412152040378096</v>
      </c>
      <c r="BJ8" s="59">
        <v>6.9</v>
      </c>
    </row>
    <row r="9" spans="3:62" x14ac:dyDescent="0.3">
      <c r="C9" s="61">
        <v>94</v>
      </c>
      <c r="D9" s="41">
        <v>15</v>
      </c>
      <c r="E9" s="5">
        <v>24</v>
      </c>
      <c r="F9" s="41">
        <v>25</v>
      </c>
      <c r="G9" s="41"/>
      <c r="H9" s="61" t="s">
        <v>170</v>
      </c>
      <c r="I9" s="59">
        <v>7.1</v>
      </c>
      <c r="J9" s="61" t="s">
        <v>171</v>
      </c>
      <c r="K9" s="61" t="s">
        <v>171</v>
      </c>
      <c r="L9" s="75">
        <v>7.4</v>
      </c>
      <c r="M9" s="61" t="s">
        <v>172</v>
      </c>
      <c r="O9" s="61">
        <v>25</v>
      </c>
      <c r="P9" s="59">
        <v>29</v>
      </c>
      <c r="Q9" s="61">
        <v>40</v>
      </c>
      <c r="S9" s="61">
        <v>4</v>
      </c>
      <c r="T9" s="59">
        <v>6.2</v>
      </c>
      <c r="U9" s="59">
        <v>6.4</v>
      </c>
      <c r="V9" s="61">
        <v>10</v>
      </c>
      <c r="X9" s="61">
        <v>27</v>
      </c>
      <c r="Y9" s="5">
        <v>27</v>
      </c>
      <c r="Z9" s="5">
        <v>31</v>
      </c>
      <c r="AA9" s="61">
        <v>32</v>
      </c>
      <c r="AC9" t="s">
        <v>176</v>
      </c>
      <c r="AD9" t="s">
        <v>178</v>
      </c>
      <c r="AE9" t="s">
        <v>177</v>
      </c>
      <c r="AG9" s="5" t="s">
        <v>50</v>
      </c>
      <c r="AH9" s="66">
        <v>6.4</v>
      </c>
      <c r="AI9" s="66">
        <v>6.9</v>
      </c>
      <c r="AJ9" s="66">
        <v>7.1333333333333302</v>
      </c>
      <c r="AK9" s="66">
        <v>6.8666666666666698</v>
      </c>
      <c r="AL9" s="66">
        <v>6.5333333333333297</v>
      </c>
      <c r="AM9" s="66">
        <v>6.9666666666666703</v>
      </c>
      <c r="AN9" s="66">
        <v>7.1333333333333302</v>
      </c>
      <c r="AO9" s="66">
        <v>6.6333333333333302</v>
      </c>
      <c r="AQ9" s="5" t="s">
        <v>50</v>
      </c>
      <c r="AR9" s="48">
        <v>5.4</v>
      </c>
      <c r="AS9" s="48">
        <v>6.1</v>
      </c>
      <c r="AT9" s="48">
        <v>6.2</v>
      </c>
      <c r="AU9" s="48">
        <v>5</v>
      </c>
      <c r="AV9" s="48">
        <v>5.8</v>
      </c>
      <c r="AW9" s="48">
        <v>5.7</v>
      </c>
      <c r="AX9" s="48">
        <v>5.3</v>
      </c>
      <c r="AY9" s="48">
        <v>5.5</v>
      </c>
      <c r="AZ9" s="59">
        <v>49</v>
      </c>
      <c r="BA9" s="48">
        <v>6.3461007619187839</v>
      </c>
      <c r="BB9" s="59">
        <v>6</v>
      </c>
      <c r="BC9" s="48">
        <v>6.9303344620181573</v>
      </c>
      <c r="BD9" s="59">
        <v>5.6</v>
      </c>
      <c r="BE9" s="48">
        <v>5.5543871023341405</v>
      </c>
      <c r="BF9" s="59">
        <v>5.7</v>
      </c>
      <c r="BG9" s="48">
        <v>6.8689434339637261</v>
      </c>
      <c r="BH9" s="59">
        <v>5.5</v>
      </c>
      <c r="BI9" s="48">
        <v>6.2931602566962495</v>
      </c>
      <c r="BJ9" s="59">
        <v>5.6</v>
      </c>
    </row>
    <row r="10" spans="3:62" x14ac:dyDescent="0.3">
      <c r="C10" s="61">
        <v>95</v>
      </c>
      <c r="D10" s="41">
        <v>15</v>
      </c>
      <c r="E10" s="5">
        <v>22</v>
      </c>
      <c r="F10" s="41">
        <v>25</v>
      </c>
      <c r="G10" s="41"/>
      <c r="H10" s="61" t="s">
        <v>170</v>
      </c>
      <c r="I10" s="59">
        <v>7.7</v>
      </c>
      <c r="J10" s="61" t="s">
        <v>171</v>
      </c>
      <c r="K10" s="61" t="s">
        <v>171</v>
      </c>
      <c r="L10" s="75">
        <v>7.3</v>
      </c>
      <c r="M10" s="61" t="s">
        <v>172</v>
      </c>
      <c r="O10" s="61">
        <v>25</v>
      </c>
      <c r="P10" s="59">
        <v>27</v>
      </c>
      <c r="Q10" s="61">
        <v>40</v>
      </c>
      <c r="S10" s="61">
        <v>4</v>
      </c>
      <c r="T10" s="59">
        <v>6.1</v>
      </c>
      <c r="U10" s="59">
        <v>6</v>
      </c>
      <c r="V10" s="61">
        <v>10</v>
      </c>
      <c r="X10" s="61">
        <v>27</v>
      </c>
      <c r="Y10" s="5">
        <v>29</v>
      </c>
      <c r="Z10" s="5">
        <v>30</v>
      </c>
      <c r="AA10" s="61">
        <v>32</v>
      </c>
      <c r="AC10" t="s">
        <v>176</v>
      </c>
      <c r="AD10" t="s">
        <v>181</v>
      </c>
      <c r="AE10" t="s">
        <v>177</v>
      </c>
      <c r="AG10" s="5" t="s">
        <v>49</v>
      </c>
      <c r="AH10" s="66">
        <v>6.3</v>
      </c>
      <c r="AI10" s="66">
        <v>6.95</v>
      </c>
      <c r="AJ10" s="66">
        <v>7.2333333333333298</v>
      </c>
      <c r="AK10" s="66">
        <v>6.8666666666666698</v>
      </c>
      <c r="AL10" s="66">
        <v>6.43333333333333</v>
      </c>
      <c r="AM10" s="66">
        <v>7.0166666666666702</v>
      </c>
      <c r="AN10" s="66">
        <v>7.18333333333333</v>
      </c>
      <c r="AO10" s="66">
        <v>6.5833333333333304</v>
      </c>
      <c r="AQ10" s="5" t="s">
        <v>49</v>
      </c>
      <c r="AR10" s="66">
        <v>5.2</v>
      </c>
      <c r="AS10" s="66">
        <v>5.9</v>
      </c>
      <c r="AT10" s="66">
        <v>6.2</v>
      </c>
      <c r="AU10" s="66">
        <v>5.8</v>
      </c>
      <c r="AV10" s="66">
        <v>6.1</v>
      </c>
      <c r="AW10" s="66">
        <v>5.4</v>
      </c>
      <c r="AX10" s="66">
        <v>5.7</v>
      </c>
      <c r="AY10" s="66">
        <v>5.5</v>
      </c>
      <c r="AZ10" s="59">
        <v>56</v>
      </c>
      <c r="BA10" s="63">
        <v>6.6994691200981</v>
      </c>
      <c r="BB10" s="59">
        <v>5.7</v>
      </c>
      <c r="BC10" s="63">
        <v>5.7028500269400562</v>
      </c>
      <c r="BD10" s="59">
        <v>7.1</v>
      </c>
      <c r="BE10" s="63">
        <v>6.8129239096537413</v>
      </c>
      <c r="BF10" s="59">
        <v>5.5</v>
      </c>
      <c r="BG10" s="63">
        <v>5.7263859753855035</v>
      </c>
      <c r="BH10" s="59">
        <v>5.5</v>
      </c>
      <c r="BI10" s="63">
        <v>5.5664953734079567</v>
      </c>
      <c r="BJ10" s="59">
        <v>5.7</v>
      </c>
    </row>
    <row r="11" spans="3:62" x14ac:dyDescent="0.3">
      <c r="C11" s="61">
        <v>96</v>
      </c>
      <c r="D11" s="41">
        <v>15</v>
      </c>
      <c r="E11" s="5">
        <v>20</v>
      </c>
      <c r="F11" s="41">
        <v>25</v>
      </c>
      <c r="G11" s="41"/>
      <c r="H11" s="61" t="s">
        <v>170</v>
      </c>
      <c r="I11" s="59">
        <v>7.6</v>
      </c>
      <c r="J11" s="61" t="s">
        <v>171</v>
      </c>
      <c r="K11" s="61" t="s">
        <v>171</v>
      </c>
      <c r="L11" s="75">
        <v>7.1</v>
      </c>
      <c r="M11" s="61" t="s">
        <v>172</v>
      </c>
      <c r="O11" s="61">
        <v>25</v>
      </c>
      <c r="P11" s="59">
        <v>32</v>
      </c>
      <c r="Q11" s="61">
        <v>40</v>
      </c>
      <c r="S11" s="61">
        <v>4</v>
      </c>
      <c r="T11" s="59">
        <v>5.9</v>
      </c>
      <c r="U11" s="59">
        <v>5.7</v>
      </c>
      <c r="V11" s="61">
        <v>10</v>
      </c>
      <c r="X11" s="61">
        <v>27</v>
      </c>
      <c r="Y11" s="5">
        <v>28</v>
      </c>
      <c r="Z11" s="5">
        <v>29</v>
      </c>
      <c r="AA11" s="61">
        <v>32</v>
      </c>
      <c r="AC11" t="s">
        <v>176</v>
      </c>
      <c r="AD11" t="s">
        <v>178</v>
      </c>
      <c r="AE11" t="s">
        <v>177</v>
      </c>
      <c r="AG11" s="5" t="s">
        <v>48</v>
      </c>
      <c r="AH11" s="48">
        <v>6.2</v>
      </c>
      <c r="AI11" s="48">
        <v>7</v>
      </c>
      <c r="AJ11" s="48">
        <v>7.3333333333333304</v>
      </c>
      <c r="AK11" s="48">
        <v>6.8666666666666698</v>
      </c>
      <c r="AL11" s="48">
        <v>6.3333333333333304</v>
      </c>
      <c r="AM11" s="48">
        <v>7.06666666666667</v>
      </c>
      <c r="AN11" s="48">
        <v>7.2333333333333298</v>
      </c>
      <c r="AO11" s="48">
        <v>6.5333333333333297</v>
      </c>
      <c r="AQ11" s="5" t="s">
        <v>48</v>
      </c>
      <c r="AR11" s="48">
        <v>5</v>
      </c>
      <c r="AS11" s="48">
        <v>5.6</v>
      </c>
      <c r="AT11" s="48">
        <v>6.1</v>
      </c>
      <c r="AU11" s="48">
        <v>5.6</v>
      </c>
      <c r="AV11" s="48">
        <v>5.4</v>
      </c>
      <c r="AW11" s="48">
        <v>6.1</v>
      </c>
      <c r="AX11" s="48">
        <v>5.5</v>
      </c>
      <c r="AY11" s="48">
        <v>6.1</v>
      </c>
      <c r="AZ11" s="59">
        <v>63</v>
      </c>
      <c r="BA11" s="63">
        <v>5.8039774471912011</v>
      </c>
      <c r="BB11" s="59">
        <v>6.4</v>
      </c>
      <c r="BC11" s="63">
        <v>6.7728384136392927</v>
      </c>
      <c r="BD11" s="59">
        <v>5.8</v>
      </c>
      <c r="BE11" s="63">
        <v>6.5148889298482908</v>
      </c>
      <c r="BF11" s="59">
        <v>5.5</v>
      </c>
      <c r="BG11" s="63">
        <v>5.8458206413182587</v>
      </c>
      <c r="BH11" s="59">
        <v>6.1</v>
      </c>
      <c r="BI11" s="63">
        <v>5.9538234386783504</v>
      </c>
      <c r="BJ11" s="59">
        <v>6.4</v>
      </c>
    </row>
    <row r="12" spans="3:62" x14ac:dyDescent="0.3">
      <c r="C12" s="61">
        <v>97</v>
      </c>
      <c r="D12" s="41">
        <v>15</v>
      </c>
      <c r="E12" s="5">
        <v>21</v>
      </c>
      <c r="F12" s="41">
        <v>25</v>
      </c>
      <c r="G12" s="41"/>
      <c r="H12" s="61" t="s">
        <v>170</v>
      </c>
      <c r="I12" s="59">
        <v>7.2</v>
      </c>
      <c r="J12" s="61" t="s">
        <v>171</v>
      </c>
      <c r="K12" s="61" t="s">
        <v>171</v>
      </c>
      <c r="L12" s="75">
        <v>7.7</v>
      </c>
      <c r="M12" s="61" t="s">
        <v>172</v>
      </c>
      <c r="O12" s="61">
        <v>25</v>
      </c>
      <c r="P12" s="59">
        <v>30</v>
      </c>
      <c r="Q12" s="61">
        <v>40</v>
      </c>
      <c r="S12" s="61">
        <v>4</v>
      </c>
      <c r="T12" s="59">
        <v>6.2</v>
      </c>
      <c r="U12" s="59">
        <v>6.4</v>
      </c>
      <c r="V12" s="61">
        <v>10</v>
      </c>
      <c r="X12" s="61">
        <v>27</v>
      </c>
      <c r="Y12" s="5">
        <v>26</v>
      </c>
      <c r="Z12" s="5">
        <v>30</v>
      </c>
      <c r="AA12" s="61">
        <v>32</v>
      </c>
      <c r="AC12" t="s">
        <v>176</v>
      </c>
      <c r="AD12" t="s">
        <v>182</v>
      </c>
      <c r="AE12" t="s">
        <v>177</v>
      </c>
      <c r="AG12" s="5" t="s">
        <v>47</v>
      </c>
      <c r="AH12" s="66">
        <v>6.1</v>
      </c>
      <c r="AI12" s="66">
        <v>7.05</v>
      </c>
      <c r="AJ12" s="66">
        <v>7.43333333333333</v>
      </c>
      <c r="AK12" s="66">
        <v>6.8666666666666698</v>
      </c>
      <c r="AL12" s="66">
        <v>6.2333333333333298</v>
      </c>
      <c r="AM12" s="66">
        <v>7.1166666666666698</v>
      </c>
      <c r="AN12" s="66">
        <v>7.2833333333333297</v>
      </c>
      <c r="AO12" s="66">
        <v>6.4833333333333396</v>
      </c>
      <c r="AQ12" s="5" t="s">
        <v>47</v>
      </c>
      <c r="AR12" s="66">
        <v>5.8</v>
      </c>
      <c r="AS12" s="66">
        <v>5.8</v>
      </c>
      <c r="AT12" s="66">
        <v>5.4</v>
      </c>
      <c r="AU12" s="66">
        <v>5.4</v>
      </c>
      <c r="AV12" s="66">
        <v>5.7</v>
      </c>
      <c r="AW12" s="66">
        <v>5.8</v>
      </c>
      <c r="AX12" s="66">
        <v>5.3</v>
      </c>
      <c r="AY12" s="66">
        <v>5.7</v>
      </c>
      <c r="AZ12" s="59">
        <v>70</v>
      </c>
      <c r="BA12" s="63">
        <v>5.923859113290213</v>
      </c>
      <c r="BB12" s="59">
        <v>6.5</v>
      </c>
      <c r="BC12" s="63">
        <v>6.206363201377056</v>
      </c>
      <c r="BD12" s="59">
        <v>6.4</v>
      </c>
      <c r="BE12" s="63">
        <v>7.0184821258267096</v>
      </c>
      <c r="BF12" s="59">
        <v>6.1</v>
      </c>
      <c r="BG12" s="63">
        <v>5.5977249835979119</v>
      </c>
      <c r="BH12" s="59">
        <v>6.8</v>
      </c>
      <c r="BI12" s="63">
        <v>7.0027154763018826</v>
      </c>
      <c r="BJ12" s="59">
        <v>6.5</v>
      </c>
    </row>
    <row r="13" spans="3:62" x14ac:dyDescent="0.3">
      <c r="C13" s="61">
        <v>98</v>
      </c>
      <c r="D13" s="41">
        <v>15</v>
      </c>
      <c r="E13" s="5">
        <v>22</v>
      </c>
      <c r="F13" s="41">
        <v>25</v>
      </c>
      <c r="G13" s="41"/>
      <c r="H13" s="61" t="s">
        <v>170</v>
      </c>
      <c r="I13" s="59">
        <v>7.6</v>
      </c>
      <c r="J13" s="61" t="s">
        <v>171</v>
      </c>
      <c r="K13" s="61" t="s">
        <v>171</v>
      </c>
      <c r="L13" s="75">
        <v>7.7</v>
      </c>
      <c r="M13" s="61" t="s">
        <v>172</v>
      </c>
      <c r="O13" s="61">
        <v>25</v>
      </c>
      <c r="P13" s="59">
        <v>25</v>
      </c>
      <c r="Q13" s="61">
        <v>40</v>
      </c>
      <c r="S13" s="61">
        <v>4</v>
      </c>
      <c r="T13" s="59">
        <v>6.8</v>
      </c>
      <c r="U13" s="59">
        <v>6.5</v>
      </c>
      <c r="V13" s="61">
        <v>10</v>
      </c>
      <c r="X13" s="61">
        <v>27</v>
      </c>
      <c r="Y13" s="5">
        <v>27</v>
      </c>
      <c r="Z13" s="5">
        <v>31</v>
      </c>
      <c r="AA13" s="61">
        <v>32</v>
      </c>
      <c r="AC13" t="s">
        <v>176</v>
      </c>
      <c r="AD13" t="s">
        <v>182</v>
      </c>
      <c r="AE13" t="s">
        <v>177</v>
      </c>
      <c r="AG13" s="5" t="s">
        <v>46</v>
      </c>
      <c r="AH13" s="66">
        <v>6</v>
      </c>
      <c r="AI13" s="66">
        <v>7.1</v>
      </c>
      <c r="AJ13" s="66">
        <v>7.5333333333333297</v>
      </c>
      <c r="AK13" s="66">
        <v>6.8666666666666698</v>
      </c>
      <c r="AL13" s="66">
        <v>6.1333333333333302</v>
      </c>
      <c r="AM13" s="66">
        <v>7.1666666666666696</v>
      </c>
      <c r="AN13" s="66">
        <v>7.3333333333333304</v>
      </c>
      <c r="AO13" s="66">
        <v>6.43333333333333</v>
      </c>
      <c r="AQ13" s="5" t="s">
        <v>46</v>
      </c>
      <c r="AR13" s="48">
        <v>5.6</v>
      </c>
      <c r="AS13" s="48">
        <v>6.1</v>
      </c>
      <c r="AT13" s="48">
        <v>5.7</v>
      </c>
      <c r="AU13" s="48">
        <v>5.2</v>
      </c>
      <c r="AV13" s="48">
        <v>6</v>
      </c>
      <c r="AW13" s="48">
        <v>5.5</v>
      </c>
      <c r="AX13" s="48">
        <v>6.1</v>
      </c>
      <c r="AY13" s="48">
        <v>5.3</v>
      </c>
      <c r="AZ13" s="59">
        <v>77</v>
      </c>
      <c r="BA13" s="63">
        <v>7.1477311706924285</v>
      </c>
      <c r="BB13" s="59">
        <v>6.7</v>
      </c>
      <c r="BC13" s="63">
        <v>6.6179972564851912</v>
      </c>
      <c r="BD13" s="59">
        <v>6.8</v>
      </c>
      <c r="BE13" s="63">
        <v>5.5487944094402089</v>
      </c>
      <c r="BF13" s="59">
        <v>6.8</v>
      </c>
      <c r="BG13" s="63">
        <v>6.6238940161636775</v>
      </c>
      <c r="BH13" s="59">
        <v>5.6</v>
      </c>
      <c r="BI13" s="63">
        <v>5.9224285218123383</v>
      </c>
      <c r="BJ13" s="59">
        <v>6.7</v>
      </c>
    </row>
    <row r="14" spans="3:62" x14ac:dyDescent="0.3">
      <c r="C14" s="61">
        <v>99</v>
      </c>
      <c r="D14" s="41">
        <v>15</v>
      </c>
      <c r="E14" s="5">
        <v>22</v>
      </c>
      <c r="F14" s="41">
        <v>25</v>
      </c>
      <c r="G14" s="41"/>
      <c r="H14" s="61" t="s">
        <v>170</v>
      </c>
      <c r="I14" s="59">
        <v>7.7</v>
      </c>
      <c r="J14" s="61" t="s">
        <v>171</v>
      </c>
      <c r="K14" s="61" t="s">
        <v>171</v>
      </c>
      <c r="L14" s="75">
        <v>7.3</v>
      </c>
      <c r="M14" s="61" t="s">
        <v>172</v>
      </c>
      <c r="O14" s="61">
        <v>25</v>
      </c>
      <c r="P14" s="59">
        <v>29</v>
      </c>
      <c r="Q14" s="61">
        <v>40</v>
      </c>
      <c r="S14" s="61">
        <v>4</v>
      </c>
      <c r="T14" s="59">
        <v>5.8</v>
      </c>
      <c r="U14" s="59">
        <v>6.7</v>
      </c>
      <c r="V14" s="61">
        <v>10</v>
      </c>
      <c r="X14" s="61">
        <v>27</v>
      </c>
      <c r="Y14" s="5">
        <v>28</v>
      </c>
      <c r="Z14" s="5">
        <v>31</v>
      </c>
      <c r="AA14" s="61">
        <v>32</v>
      </c>
      <c r="AC14" t="s">
        <v>176</v>
      </c>
      <c r="AD14" t="s">
        <v>179</v>
      </c>
      <c r="AE14" t="s">
        <v>177</v>
      </c>
      <c r="AZ14" s="59">
        <v>84</v>
      </c>
      <c r="BA14" s="63">
        <v>5.5095486241155083</v>
      </c>
      <c r="BB14" s="59">
        <v>5.7</v>
      </c>
      <c r="BC14" s="63">
        <v>6.0901369460570169</v>
      </c>
      <c r="BD14" s="59">
        <v>6.8</v>
      </c>
      <c r="BE14" s="63">
        <v>5.7604369874312367</v>
      </c>
      <c r="BF14" s="59">
        <v>5.6</v>
      </c>
      <c r="BG14" s="63">
        <v>6.0759989282099331</v>
      </c>
      <c r="BH14" s="59">
        <v>6.1</v>
      </c>
      <c r="BI14" s="63">
        <v>6.6426709191512376</v>
      </c>
      <c r="BJ14" s="59">
        <v>5.7</v>
      </c>
    </row>
    <row r="15" spans="3:62" x14ac:dyDescent="0.3">
      <c r="C15" s="61">
        <v>100</v>
      </c>
      <c r="D15" s="41">
        <v>15</v>
      </c>
      <c r="E15" s="5">
        <v>19</v>
      </c>
      <c r="F15" s="41">
        <v>25</v>
      </c>
      <c r="G15" s="41"/>
      <c r="H15" s="61" t="s">
        <v>170</v>
      </c>
      <c r="I15" s="59">
        <v>7.4</v>
      </c>
      <c r="J15" s="61" t="s">
        <v>171</v>
      </c>
      <c r="K15" s="61" t="s">
        <v>171</v>
      </c>
      <c r="L15" s="75">
        <v>7.2</v>
      </c>
      <c r="M15" s="61" t="s">
        <v>172</v>
      </c>
      <c r="O15" s="61">
        <v>25</v>
      </c>
      <c r="P15" s="59">
        <v>26</v>
      </c>
      <c r="Q15" s="61">
        <v>40</v>
      </c>
      <c r="S15" s="61">
        <v>4</v>
      </c>
      <c r="T15" s="59">
        <v>5.8</v>
      </c>
      <c r="U15" s="59">
        <v>5.7</v>
      </c>
      <c r="V15" s="61">
        <v>10</v>
      </c>
      <c r="X15" s="61">
        <v>27</v>
      </c>
      <c r="Y15" s="5">
        <v>27</v>
      </c>
      <c r="Z15" s="5">
        <v>29</v>
      </c>
      <c r="AA15" s="61">
        <v>32</v>
      </c>
      <c r="AC15" t="s">
        <v>176</v>
      </c>
      <c r="AD15" t="s">
        <v>181</v>
      </c>
      <c r="AE15" t="s">
        <v>177</v>
      </c>
      <c r="AZ15" s="59">
        <v>91</v>
      </c>
      <c r="BA15" s="63">
        <v>6.3292439210437781</v>
      </c>
      <c r="BB15" s="59">
        <v>7</v>
      </c>
      <c r="BC15" s="63">
        <v>6.337785591428502</v>
      </c>
      <c r="BD15" s="59">
        <v>5.8</v>
      </c>
      <c r="BE15" s="63">
        <v>6.5229989469358296</v>
      </c>
      <c r="BF15" s="59">
        <v>6.1</v>
      </c>
      <c r="BG15" s="63">
        <v>6.572463521063665</v>
      </c>
      <c r="BH15" s="59">
        <v>7</v>
      </c>
      <c r="BI15" s="63">
        <v>5.9368961586704003</v>
      </c>
      <c r="BJ15" s="59">
        <v>7</v>
      </c>
    </row>
    <row r="16" spans="3:62" x14ac:dyDescent="0.3">
      <c r="C16" s="61">
        <v>101</v>
      </c>
      <c r="D16" s="41">
        <v>15</v>
      </c>
      <c r="E16" s="5">
        <v>24</v>
      </c>
      <c r="F16" s="41">
        <v>25</v>
      </c>
      <c r="G16" s="41"/>
      <c r="H16" s="61" t="s">
        <v>170</v>
      </c>
      <c r="I16" s="59">
        <v>7.4</v>
      </c>
      <c r="J16" s="61" t="s">
        <v>171</v>
      </c>
      <c r="K16" s="61" t="s">
        <v>171</v>
      </c>
      <c r="L16" s="75">
        <v>7.4</v>
      </c>
      <c r="M16" s="61" t="s">
        <v>172</v>
      </c>
      <c r="O16" s="61">
        <v>25</v>
      </c>
      <c r="P16" s="59">
        <v>36</v>
      </c>
      <c r="Q16" s="61">
        <v>40</v>
      </c>
      <c r="S16" s="61">
        <v>4</v>
      </c>
      <c r="T16" s="59">
        <v>6.2</v>
      </c>
      <c r="U16" s="59">
        <v>7</v>
      </c>
      <c r="V16" s="61">
        <v>10</v>
      </c>
      <c r="X16" s="61">
        <v>27</v>
      </c>
      <c r="Y16" s="5">
        <v>28</v>
      </c>
      <c r="Z16" s="5">
        <v>29</v>
      </c>
      <c r="AA16" s="61">
        <v>32</v>
      </c>
      <c r="AC16" t="s">
        <v>176</v>
      </c>
      <c r="AD16" t="s">
        <v>178</v>
      </c>
      <c r="AE16" t="s">
        <v>177</v>
      </c>
      <c r="AZ16" s="59">
        <v>98</v>
      </c>
      <c r="BA16" s="63">
        <v>6.3311302314265721</v>
      </c>
      <c r="BB16" s="59">
        <v>5.9</v>
      </c>
      <c r="BC16" s="63">
        <v>7.0171475941474544</v>
      </c>
      <c r="BD16" s="59">
        <v>6.3</v>
      </c>
      <c r="BE16" s="63">
        <v>6.0812823896987123</v>
      </c>
      <c r="BF16" s="59">
        <v>7</v>
      </c>
      <c r="BG16" s="63">
        <v>6.0776538523356898</v>
      </c>
      <c r="BH16" s="59">
        <v>5.5</v>
      </c>
      <c r="BI16" s="63">
        <v>7.0530022094081213</v>
      </c>
      <c r="BJ16" s="59">
        <v>5.9</v>
      </c>
    </row>
    <row r="17" spans="2:79" x14ac:dyDescent="0.3">
      <c r="C17" s="61">
        <v>102</v>
      </c>
      <c r="D17" s="41">
        <v>15</v>
      </c>
      <c r="E17" s="5">
        <v>19</v>
      </c>
      <c r="F17" s="41">
        <v>25</v>
      </c>
      <c r="G17" s="41"/>
      <c r="H17" s="61" t="s">
        <v>170</v>
      </c>
      <c r="I17" s="59">
        <v>7.1</v>
      </c>
      <c r="J17" s="61" t="s">
        <v>171</v>
      </c>
      <c r="K17" s="61" t="s">
        <v>171</v>
      </c>
      <c r="L17" s="75">
        <v>7.5</v>
      </c>
      <c r="M17" s="61" t="s">
        <v>172</v>
      </c>
      <c r="O17" s="61">
        <v>25</v>
      </c>
      <c r="P17" s="59">
        <v>37</v>
      </c>
      <c r="Q17" s="61">
        <v>40</v>
      </c>
      <c r="S17" s="61">
        <v>4</v>
      </c>
      <c r="T17" s="59">
        <v>6.9</v>
      </c>
      <c r="U17" s="59">
        <v>5.9</v>
      </c>
      <c r="V17" s="61">
        <v>10</v>
      </c>
      <c r="X17" s="61">
        <v>27</v>
      </c>
      <c r="Y17" s="5">
        <v>27</v>
      </c>
      <c r="Z17" s="5">
        <v>32</v>
      </c>
      <c r="AA17" s="61">
        <v>32</v>
      </c>
      <c r="AC17" t="s">
        <v>176</v>
      </c>
      <c r="AD17" t="s">
        <v>183</v>
      </c>
      <c r="AE17" t="s">
        <v>177</v>
      </c>
      <c r="AZ17" s="59">
        <v>105</v>
      </c>
      <c r="BA17" s="63">
        <v>5.9169083740688251</v>
      </c>
      <c r="BB17" s="59">
        <v>6.9</v>
      </c>
      <c r="BC17" s="63">
        <v>6.4986604583959684</v>
      </c>
      <c r="BD17" s="59">
        <v>6.2</v>
      </c>
      <c r="BE17" s="63">
        <v>7.0495242807207941</v>
      </c>
      <c r="BF17" s="59">
        <v>5.5</v>
      </c>
      <c r="BG17" s="63">
        <v>5.7302189594238353</v>
      </c>
      <c r="BH17" s="63">
        <v>6.35</v>
      </c>
      <c r="BI17" s="63">
        <v>6.7011491833308163</v>
      </c>
      <c r="BJ17" s="59">
        <v>6.9</v>
      </c>
    </row>
    <row r="18" spans="2:79" x14ac:dyDescent="0.3">
      <c r="C18" s="61">
        <v>103</v>
      </c>
      <c r="D18" s="41">
        <v>15</v>
      </c>
      <c r="E18" s="5">
        <v>19</v>
      </c>
      <c r="F18" s="41">
        <v>25</v>
      </c>
      <c r="G18" s="41"/>
      <c r="H18" s="61" t="s">
        <v>170</v>
      </c>
      <c r="I18" s="59">
        <v>7.6</v>
      </c>
      <c r="J18" s="61" t="s">
        <v>171</v>
      </c>
      <c r="K18" s="61" t="s">
        <v>171</v>
      </c>
      <c r="L18" s="75">
        <v>7.1</v>
      </c>
      <c r="M18" s="61" t="s">
        <v>172</v>
      </c>
      <c r="O18" s="61">
        <v>25</v>
      </c>
      <c r="P18" s="59">
        <v>37</v>
      </c>
      <c r="Q18" s="61">
        <v>40</v>
      </c>
      <c r="S18" s="61">
        <v>4</v>
      </c>
      <c r="T18" s="59">
        <v>6.8</v>
      </c>
      <c r="U18" s="59">
        <v>6.9</v>
      </c>
      <c r="V18" s="61">
        <v>10</v>
      </c>
      <c r="X18" s="61">
        <v>27</v>
      </c>
      <c r="Y18" s="5">
        <v>29</v>
      </c>
      <c r="Z18" s="5">
        <v>30</v>
      </c>
      <c r="AA18" s="61">
        <v>32</v>
      </c>
      <c r="AC18" t="s">
        <v>176</v>
      </c>
      <c r="AD18" t="s">
        <v>184</v>
      </c>
      <c r="AE18" t="s">
        <v>177</v>
      </c>
    </row>
    <row r="19" spans="2:79" x14ac:dyDescent="0.3">
      <c r="C19" s="61">
        <v>104</v>
      </c>
      <c r="D19" s="41">
        <v>15</v>
      </c>
      <c r="E19" s="5">
        <v>20</v>
      </c>
      <c r="F19" s="41">
        <v>25</v>
      </c>
      <c r="G19" s="41"/>
      <c r="H19" s="61" t="s">
        <v>170</v>
      </c>
      <c r="I19" s="59">
        <v>7.2</v>
      </c>
      <c r="J19" s="61" t="s">
        <v>171</v>
      </c>
      <c r="K19" s="61" t="s">
        <v>171</v>
      </c>
      <c r="L19" s="75">
        <v>7.6</v>
      </c>
      <c r="M19" s="61" t="s">
        <v>172</v>
      </c>
      <c r="O19" s="61">
        <v>25</v>
      </c>
      <c r="P19" s="59">
        <v>39</v>
      </c>
      <c r="Q19" s="61">
        <v>40</v>
      </c>
      <c r="S19" s="61">
        <v>4</v>
      </c>
      <c r="T19" s="59">
        <v>6.9</v>
      </c>
      <c r="U19" s="59">
        <v>6.6</v>
      </c>
      <c r="V19" s="61">
        <v>10</v>
      </c>
      <c r="X19" s="61">
        <v>27</v>
      </c>
      <c r="Y19" s="5">
        <v>26</v>
      </c>
      <c r="Z19" s="5">
        <v>29</v>
      </c>
      <c r="AA19" s="61">
        <v>32</v>
      </c>
      <c r="AC19" t="s">
        <v>176</v>
      </c>
      <c r="AD19" t="s">
        <v>178</v>
      </c>
      <c r="AE19" t="s">
        <v>177</v>
      </c>
      <c r="BQ19" s="157" t="s">
        <v>57</v>
      </c>
      <c r="BR19" s="156" t="s">
        <v>50</v>
      </c>
      <c r="BS19" s="156"/>
      <c r="BT19" s="156" t="s">
        <v>49</v>
      </c>
      <c r="BU19" s="156"/>
      <c r="BV19" s="156" t="s">
        <v>48</v>
      </c>
      <c r="BW19" s="156"/>
      <c r="BX19" s="156" t="s">
        <v>47</v>
      </c>
      <c r="BY19" s="156"/>
      <c r="BZ19" s="156" t="s">
        <v>46</v>
      </c>
      <c r="CA19" s="156"/>
    </row>
    <row r="20" spans="2:79" x14ac:dyDescent="0.3">
      <c r="C20" s="61">
        <v>105</v>
      </c>
      <c r="D20" s="41">
        <v>15</v>
      </c>
      <c r="E20" s="5">
        <v>18</v>
      </c>
      <c r="F20" s="41">
        <v>25</v>
      </c>
      <c r="G20" s="41"/>
      <c r="H20" s="61" t="s">
        <v>170</v>
      </c>
      <c r="I20" s="59">
        <v>7.3</v>
      </c>
      <c r="J20" s="61" t="s">
        <v>171</v>
      </c>
      <c r="K20" s="61" t="s">
        <v>171</v>
      </c>
      <c r="L20" s="75">
        <v>7.1</v>
      </c>
      <c r="M20" s="61" t="s">
        <v>172</v>
      </c>
      <c r="O20" s="61">
        <v>25</v>
      </c>
      <c r="P20" s="59">
        <v>29</v>
      </c>
      <c r="Q20" s="61">
        <v>40</v>
      </c>
      <c r="S20" s="61">
        <v>4</v>
      </c>
      <c r="T20" s="59">
        <v>5.8</v>
      </c>
      <c r="U20" s="59">
        <v>7</v>
      </c>
      <c r="V20" s="61">
        <v>10</v>
      </c>
      <c r="X20" s="61">
        <v>27</v>
      </c>
      <c r="Y20" s="5">
        <v>29</v>
      </c>
      <c r="Z20" s="5">
        <v>32</v>
      </c>
      <c r="AA20" s="61">
        <v>32</v>
      </c>
      <c r="AC20" t="s">
        <v>176</v>
      </c>
      <c r="AD20" t="s">
        <v>182</v>
      </c>
      <c r="AE20" t="s">
        <v>177</v>
      </c>
      <c r="BQ20" s="157"/>
      <c r="BR20" t="s">
        <v>185</v>
      </c>
      <c r="BS20" t="s">
        <v>186</v>
      </c>
      <c r="BT20" t="s">
        <v>185</v>
      </c>
      <c r="BU20" t="s">
        <v>186</v>
      </c>
      <c r="BV20" t="s">
        <v>185</v>
      </c>
      <c r="BW20" t="s">
        <v>186</v>
      </c>
      <c r="BX20" t="s">
        <v>185</v>
      </c>
      <c r="BY20" t="s">
        <v>186</v>
      </c>
      <c r="BZ20" t="s">
        <v>185</v>
      </c>
      <c r="CA20" t="s">
        <v>186</v>
      </c>
    </row>
    <row r="21" spans="2:79" x14ac:dyDescent="0.3">
      <c r="B21">
        <f>AVERAGE(E21:E27)</f>
        <v>19.428571428571427</v>
      </c>
      <c r="C21" s="61">
        <v>1</v>
      </c>
      <c r="D21" s="41">
        <v>15</v>
      </c>
      <c r="E21" s="5">
        <v>19</v>
      </c>
      <c r="F21" s="41">
        <v>25</v>
      </c>
      <c r="G21" s="41"/>
      <c r="H21" s="61" t="s">
        <v>170</v>
      </c>
      <c r="I21" s="59">
        <v>7.7</v>
      </c>
      <c r="J21" s="61" t="s">
        <v>171</v>
      </c>
      <c r="K21" s="61" t="s">
        <v>171</v>
      </c>
      <c r="L21" s="75">
        <v>7.7</v>
      </c>
      <c r="M21" s="61" t="s">
        <v>172</v>
      </c>
      <c r="O21" s="61">
        <v>25</v>
      </c>
      <c r="P21" s="59">
        <v>32</v>
      </c>
      <c r="Q21" s="61">
        <v>40</v>
      </c>
      <c r="S21" s="61">
        <v>4</v>
      </c>
      <c r="T21" s="59">
        <v>6.4</v>
      </c>
      <c r="U21" s="59">
        <v>6.3</v>
      </c>
      <c r="V21" s="61">
        <v>10</v>
      </c>
      <c r="X21" s="61">
        <v>27</v>
      </c>
      <c r="Y21" s="5">
        <v>28</v>
      </c>
      <c r="Z21" s="5">
        <v>29</v>
      </c>
      <c r="AA21" s="61">
        <v>32</v>
      </c>
      <c r="AC21" t="s">
        <v>176</v>
      </c>
      <c r="AD21" t="s">
        <v>182</v>
      </c>
      <c r="AE21" t="s">
        <v>177</v>
      </c>
      <c r="BQ21" s="59">
        <v>7</v>
      </c>
      <c r="BR21" s="48">
        <v>5.7559750161491134</v>
      </c>
      <c r="BS21" s="48">
        <v>5.7504371603195299</v>
      </c>
      <c r="BT21" s="48">
        <v>7.1956110712965824</v>
      </c>
      <c r="BU21" s="59">
        <v>6.9</v>
      </c>
      <c r="BV21" s="48">
        <v>6.2716299187235194</v>
      </c>
      <c r="BW21" s="59">
        <v>5.5</v>
      </c>
      <c r="BX21" s="48">
        <v>7.0262914453445422</v>
      </c>
      <c r="BY21" s="59">
        <v>6.3</v>
      </c>
      <c r="BZ21" s="48">
        <v>5.7891413749048359</v>
      </c>
      <c r="CA21" s="59">
        <v>6.3</v>
      </c>
    </row>
    <row r="22" spans="2:79" x14ac:dyDescent="0.3">
      <c r="C22" s="61">
        <v>2</v>
      </c>
      <c r="D22" s="41">
        <v>15</v>
      </c>
      <c r="E22" s="5">
        <v>17</v>
      </c>
      <c r="F22" s="41">
        <v>25</v>
      </c>
      <c r="G22" s="41"/>
      <c r="H22" s="61" t="s">
        <v>170</v>
      </c>
      <c r="I22" s="59">
        <v>7.3</v>
      </c>
      <c r="J22" s="61" t="s">
        <v>171</v>
      </c>
      <c r="K22" s="61" t="s">
        <v>171</v>
      </c>
      <c r="L22" s="75">
        <v>7.2</v>
      </c>
      <c r="M22" s="61" t="s">
        <v>172</v>
      </c>
      <c r="O22" s="61">
        <v>25</v>
      </c>
      <c r="P22" s="59">
        <v>34</v>
      </c>
      <c r="Q22" s="61">
        <v>40</v>
      </c>
      <c r="S22" s="61">
        <v>4</v>
      </c>
      <c r="T22" s="59">
        <v>6.4</v>
      </c>
      <c r="U22" s="59">
        <v>6.6</v>
      </c>
      <c r="V22" s="61">
        <v>10</v>
      </c>
      <c r="X22" s="61">
        <v>27</v>
      </c>
      <c r="Y22" s="5">
        <v>26</v>
      </c>
      <c r="Z22" s="5">
        <v>31</v>
      </c>
      <c r="AA22" s="61">
        <v>32</v>
      </c>
      <c r="AC22" t="s">
        <v>176</v>
      </c>
      <c r="AD22" t="s">
        <v>181</v>
      </c>
      <c r="AE22" t="s">
        <v>177</v>
      </c>
      <c r="AG22" s="59" t="s">
        <v>57</v>
      </c>
      <c r="AH22" s="59" t="s">
        <v>119</v>
      </c>
      <c r="AI22" s="59" t="s">
        <v>120</v>
      </c>
      <c r="AJ22" s="59" t="s">
        <v>121</v>
      </c>
      <c r="AK22" s="59" t="s">
        <v>122</v>
      </c>
      <c r="AL22" s="59" t="s">
        <v>123</v>
      </c>
      <c r="AM22" s="155" t="s">
        <v>173</v>
      </c>
      <c r="AN22" s="59" t="s">
        <v>130</v>
      </c>
      <c r="AO22">
        <v>1</v>
      </c>
      <c r="AP22">
        <v>2</v>
      </c>
      <c r="AQ22">
        <v>3</v>
      </c>
      <c r="AR22">
        <v>4</v>
      </c>
      <c r="AS22">
        <v>5</v>
      </c>
      <c r="AT22">
        <v>6</v>
      </c>
      <c r="AU22">
        <v>7</v>
      </c>
      <c r="AV22">
        <v>8</v>
      </c>
      <c r="BQ22" s="59">
        <v>14</v>
      </c>
      <c r="BR22" s="48">
        <v>7.1519848535296848</v>
      </c>
      <c r="BS22" s="48">
        <v>6.8233693390514238</v>
      </c>
      <c r="BT22" s="48">
        <v>6.2555324941501098</v>
      </c>
      <c r="BU22" s="59">
        <v>5.6</v>
      </c>
      <c r="BV22" s="48">
        <v>5.8495025854568965</v>
      </c>
      <c r="BW22" s="59">
        <v>6.9</v>
      </c>
      <c r="BX22" s="48">
        <v>6.5436184583878116</v>
      </c>
      <c r="BY22" s="59">
        <v>5.9</v>
      </c>
      <c r="BZ22" s="48">
        <v>6.9602835320789476</v>
      </c>
      <c r="CA22" s="59">
        <v>5.9</v>
      </c>
    </row>
    <row r="23" spans="2:79" x14ac:dyDescent="0.3">
      <c r="C23" s="61">
        <v>3</v>
      </c>
      <c r="D23" s="41">
        <v>15</v>
      </c>
      <c r="E23" s="5">
        <v>24</v>
      </c>
      <c r="F23" s="41">
        <v>25</v>
      </c>
      <c r="G23" s="41"/>
      <c r="H23" s="61" t="s">
        <v>170</v>
      </c>
      <c r="I23" s="59">
        <v>7.6</v>
      </c>
      <c r="J23" s="61" t="s">
        <v>171</v>
      </c>
      <c r="K23" s="61" t="s">
        <v>171</v>
      </c>
      <c r="L23" s="75">
        <v>7.3</v>
      </c>
      <c r="M23" s="61" t="s">
        <v>172</v>
      </c>
      <c r="O23" s="61">
        <v>25</v>
      </c>
      <c r="P23" s="59">
        <v>33</v>
      </c>
      <c r="Q23" s="61">
        <v>40</v>
      </c>
      <c r="S23" s="61">
        <v>4</v>
      </c>
      <c r="T23" s="59">
        <v>6.5</v>
      </c>
      <c r="U23" s="59">
        <v>6.8</v>
      </c>
      <c r="V23" s="61">
        <v>10</v>
      </c>
      <c r="X23" s="61">
        <v>27</v>
      </c>
      <c r="Y23" s="5">
        <v>27</v>
      </c>
      <c r="Z23" s="5">
        <v>31</v>
      </c>
      <c r="AA23" s="61">
        <v>32</v>
      </c>
      <c r="AC23" t="s">
        <v>176</v>
      </c>
      <c r="AD23" t="s">
        <v>180</v>
      </c>
      <c r="AE23" t="s">
        <v>177</v>
      </c>
      <c r="AG23" s="59">
        <v>7</v>
      </c>
      <c r="AH23" s="60">
        <v>21</v>
      </c>
      <c r="AI23" s="5">
        <v>23</v>
      </c>
      <c r="AJ23" s="5">
        <v>24</v>
      </c>
      <c r="AK23" s="5">
        <v>19</v>
      </c>
      <c r="AL23" s="5">
        <v>20</v>
      </c>
      <c r="AM23" s="155"/>
      <c r="AN23" t="s">
        <v>119</v>
      </c>
      <c r="AO23" s="5">
        <v>19</v>
      </c>
      <c r="AP23" s="5">
        <v>19</v>
      </c>
      <c r="AQ23" s="5">
        <v>19</v>
      </c>
      <c r="AR23" s="5">
        <v>20</v>
      </c>
      <c r="AS23" s="5">
        <v>21</v>
      </c>
      <c r="AT23" s="5">
        <v>21</v>
      </c>
      <c r="AU23" s="5">
        <v>21</v>
      </c>
      <c r="AV23" s="5">
        <v>19</v>
      </c>
      <c r="AW23" s="5"/>
      <c r="AX23" s="5"/>
      <c r="AY23" s="5"/>
      <c r="AZ23" s="5"/>
      <c r="BQ23" s="59">
        <v>21</v>
      </c>
      <c r="BR23" s="48">
        <v>5.9660377881931854</v>
      </c>
      <c r="BS23" s="48">
        <v>7.0684351524599727</v>
      </c>
      <c r="BT23" s="48">
        <v>7.1130510677341929</v>
      </c>
      <c r="BU23" s="59">
        <v>7.1</v>
      </c>
      <c r="BV23" s="48">
        <v>5.9802091336046486</v>
      </c>
      <c r="BW23" s="59">
        <v>6.3</v>
      </c>
      <c r="BX23" s="48">
        <v>6.132556340998538</v>
      </c>
      <c r="BY23" s="59">
        <v>6.5</v>
      </c>
      <c r="BZ23" s="48">
        <v>7.106897725527844</v>
      </c>
      <c r="CA23" s="59">
        <v>6.5</v>
      </c>
    </row>
    <row r="24" spans="2:79" x14ac:dyDescent="0.3">
      <c r="C24" s="61">
        <v>4</v>
      </c>
      <c r="D24" s="41">
        <v>15</v>
      </c>
      <c r="E24" s="5">
        <v>23</v>
      </c>
      <c r="F24" s="41">
        <v>25</v>
      </c>
      <c r="G24" s="41"/>
      <c r="H24" s="61" t="s">
        <v>170</v>
      </c>
      <c r="I24" s="59">
        <v>7.6</v>
      </c>
      <c r="J24" s="61" t="s">
        <v>171</v>
      </c>
      <c r="K24" s="61" t="s">
        <v>171</v>
      </c>
      <c r="L24" s="75">
        <v>7.7</v>
      </c>
      <c r="M24" s="61" t="s">
        <v>172</v>
      </c>
      <c r="O24" s="61">
        <v>25</v>
      </c>
      <c r="P24" s="59">
        <v>31</v>
      </c>
      <c r="Q24" s="61">
        <v>40</v>
      </c>
      <c r="S24" s="61">
        <v>4</v>
      </c>
      <c r="T24" s="59">
        <v>6.7</v>
      </c>
      <c r="U24" s="59">
        <v>6.9</v>
      </c>
      <c r="V24" s="61">
        <v>10</v>
      </c>
      <c r="X24" s="61">
        <v>27</v>
      </c>
      <c r="Y24" s="5">
        <v>26</v>
      </c>
      <c r="Z24" s="5">
        <v>31</v>
      </c>
      <c r="AA24" s="61">
        <v>32</v>
      </c>
      <c r="AC24" t="s">
        <v>176</v>
      </c>
      <c r="AD24" t="s">
        <v>184</v>
      </c>
      <c r="AE24" t="s">
        <v>177</v>
      </c>
      <c r="AG24" s="59">
        <v>14</v>
      </c>
      <c r="AH24" s="5">
        <v>22</v>
      </c>
      <c r="AI24" s="5">
        <v>21</v>
      </c>
      <c r="AJ24" s="5">
        <v>22</v>
      </c>
      <c r="AK24" s="5">
        <v>24</v>
      </c>
      <c r="AL24" s="5">
        <v>15</v>
      </c>
      <c r="AM24" s="155"/>
      <c r="AN24" t="s">
        <v>120</v>
      </c>
      <c r="AO24" s="5">
        <v>23</v>
      </c>
      <c r="AP24" s="5">
        <v>21</v>
      </c>
      <c r="AQ24" s="5">
        <v>21</v>
      </c>
      <c r="AR24" s="5">
        <v>19</v>
      </c>
      <c r="AS24" s="5">
        <v>18</v>
      </c>
      <c r="AT24" s="5">
        <v>17</v>
      </c>
      <c r="AU24" s="5">
        <v>20</v>
      </c>
      <c r="AV24" s="5">
        <v>15</v>
      </c>
      <c r="AW24" s="5"/>
      <c r="AX24" s="5"/>
      <c r="AY24" s="5"/>
      <c r="AZ24" s="5"/>
      <c r="BQ24" s="59">
        <v>28</v>
      </c>
      <c r="BR24" s="48">
        <v>6.6777541421049396</v>
      </c>
      <c r="BS24" s="48">
        <v>6.084383769454675</v>
      </c>
      <c r="BT24" s="48">
        <v>6.4034363391293967</v>
      </c>
      <c r="BU24" s="59">
        <v>5.8</v>
      </c>
      <c r="BV24" s="48">
        <v>6.1381130632101204</v>
      </c>
      <c r="BW24" s="59">
        <v>5.7</v>
      </c>
      <c r="BX24" s="48">
        <v>6.1798555738891858</v>
      </c>
      <c r="BY24" s="59">
        <v>6.4</v>
      </c>
      <c r="BZ24" s="48">
        <v>6.1130268312087992</v>
      </c>
      <c r="CA24" s="59">
        <v>6.4</v>
      </c>
    </row>
    <row r="25" spans="2:79" x14ac:dyDescent="0.3">
      <c r="C25" s="61">
        <v>5</v>
      </c>
      <c r="D25" s="41">
        <v>15</v>
      </c>
      <c r="E25" s="5">
        <v>20</v>
      </c>
      <c r="F25" s="41">
        <v>25</v>
      </c>
      <c r="G25" s="41"/>
      <c r="H25" s="61" t="s">
        <v>170</v>
      </c>
      <c r="I25" s="59">
        <v>7.1</v>
      </c>
      <c r="J25" s="61" t="s">
        <v>171</v>
      </c>
      <c r="K25" s="61" t="s">
        <v>171</v>
      </c>
      <c r="L25" s="75">
        <v>7.1</v>
      </c>
      <c r="M25" s="61" t="s">
        <v>172</v>
      </c>
      <c r="O25" s="61">
        <v>25</v>
      </c>
      <c r="P25" s="59">
        <v>38</v>
      </c>
      <c r="Q25" s="61">
        <v>40</v>
      </c>
      <c r="S25" s="61">
        <v>4</v>
      </c>
      <c r="T25" s="59">
        <v>6</v>
      </c>
      <c r="U25" s="59">
        <v>5.6</v>
      </c>
      <c r="V25" s="61">
        <v>10</v>
      </c>
      <c r="X25" s="61">
        <v>27</v>
      </c>
      <c r="Y25" s="5">
        <v>29</v>
      </c>
      <c r="Z25" s="5">
        <v>31</v>
      </c>
      <c r="AA25" s="61">
        <v>32</v>
      </c>
      <c r="AC25" t="s">
        <v>176</v>
      </c>
      <c r="AD25" t="s">
        <v>178</v>
      </c>
      <c r="AE25" t="s">
        <v>177</v>
      </c>
      <c r="AG25" s="59">
        <v>21</v>
      </c>
      <c r="AH25" s="5">
        <v>23</v>
      </c>
      <c r="AI25" s="5">
        <v>21</v>
      </c>
      <c r="AJ25" s="5">
        <v>20</v>
      </c>
      <c r="AK25" s="5">
        <v>19</v>
      </c>
      <c r="AL25" s="5">
        <v>18</v>
      </c>
      <c r="AM25" s="155"/>
      <c r="AN25" t="s">
        <v>121</v>
      </c>
      <c r="AO25" s="5">
        <v>24</v>
      </c>
      <c r="AP25" s="5">
        <v>22</v>
      </c>
      <c r="AQ25" s="5">
        <v>20</v>
      </c>
      <c r="AR25" s="5">
        <v>21</v>
      </c>
      <c r="AS25" s="5">
        <v>22</v>
      </c>
      <c r="AT25" s="5">
        <v>20</v>
      </c>
      <c r="AU25" s="5">
        <v>22</v>
      </c>
      <c r="AV25" s="5">
        <v>22</v>
      </c>
      <c r="AW25" s="5"/>
      <c r="AX25" s="5"/>
      <c r="AY25" s="5"/>
      <c r="AZ25" s="5"/>
      <c r="BQ25" s="59">
        <v>35</v>
      </c>
      <c r="BR25" s="48">
        <v>6.5671216396107726</v>
      </c>
      <c r="BS25" s="48">
        <v>6.5221534461363211</v>
      </c>
      <c r="BT25" s="48">
        <v>6.3179464030180883</v>
      </c>
      <c r="BU25" s="59">
        <v>6.4</v>
      </c>
      <c r="BV25" s="48">
        <v>7.1793215976896239</v>
      </c>
      <c r="BW25" s="59">
        <v>5.5</v>
      </c>
      <c r="BX25" s="48">
        <v>5.7767116324911401</v>
      </c>
      <c r="BY25" s="59">
        <v>7</v>
      </c>
      <c r="BZ25" s="48">
        <v>6.3799518278369671</v>
      </c>
      <c r="CA25" s="59">
        <v>7</v>
      </c>
    </row>
    <row r="26" spans="2:79" x14ac:dyDescent="0.3">
      <c r="C26" s="61">
        <v>6</v>
      </c>
      <c r="D26" s="41">
        <v>15</v>
      </c>
      <c r="E26" s="5">
        <v>15</v>
      </c>
      <c r="F26" s="41">
        <v>25</v>
      </c>
      <c r="G26" s="41"/>
      <c r="H26" s="61" t="s">
        <v>170</v>
      </c>
      <c r="I26" s="59">
        <v>7.2</v>
      </c>
      <c r="J26" s="61" t="s">
        <v>171</v>
      </c>
      <c r="K26" s="61" t="s">
        <v>171</v>
      </c>
      <c r="L26" s="75">
        <v>7.4</v>
      </c>
      <c r="M26" s="61" t="s">
        <v>172</v>
      </c>
      <c r="O26" s="61">
        <v>25</v>
      </c>
      <c r="P26" s="59">
        <v>26</v>
      </c>
      <c r="Q26" s="61">
        <v>40</v>
      </c>
      <c r="S26" s="61">
        <v>4</v>
      </c>
      <c r="T26" s="59">
        <v>5.6</v>
      </c>
      <c r="U26" s="59">
        <v>7.1</v>
      </c>
      <c r="V26" s="61">
        <v>10</v>
      </c>
      <c r="X26" s="61">
        <v>27</v>
      </c>
      <c r="Y26" s="5">
        <v>27</v>
      </c>
      <c r="Z26" s="5">
        <v>31</v>
      </c>
      <c r="AA26" s="61">
        <v>32</v>
      </c>
      <c r="AC26" t="s">
        <v>176</v>
      </c>
      <c r="AD26" t="s">
        <v>180</v>
      </c>
      <c r="AE26" t="s">
        <v>177</v>
      </c>
      <c r="AG26" s="59">
        <v>28</v>
      </c>
      <c r="AH26" s="5">
        <v>20</v>
      </c>
      <c r="AI26" s="5">
        <v>19</v>
      </c>
      <c r="AJ26" s="5">
        <v>21</v>
      </c>
      <c r="AK26" s="5">
        <v>19</v>
      </c>
      <c r="AL26" s="5">
        <v>21</v>
      </c>
      <c r="AM26" s="155"/>
      <c r="AN26" t="s">
        <v>122</v>
      </c>
      <c r="AO26" s="5">
        <v>19</v>
      </c>
      <c r="AP26" s="5">
        <v>24</v>
      </c>
      <c r="AQ26" s="5">
        <v>19</v>
      </c>
      <c r="AR26" s="5">
        <v>19</v>
      </c>
      <c r="AS26" s="5">
        <v>20</v>
      </c>
      <c r="AT26" s="5">
        <v>21</v>
      </c>
      <c r="AU26" s="5">
        <v>19</v>
      </c>
      <c r="AV26" s="5">
        <v>21</v>
      </c>
      <c r="AW26" s="5"/>
      <c r="AX26" s="5"/>
      <c r="AY26" s="5"/>
      <c r="AZ26" s="5"/>
      <c r="BQ26" s="59">
        <v>42</v>
      </c>
      <c r="BR26" s="48">
        <v>6.7594192614761957</v>
      </c>
      <c r="BS26" s="48">
        <v>6.3461007619187839</v>
      </c>
      <c r="BT26" s="48">
        <v>6.859062976887965</v>
      </c>
      <c r="BU26" s="59">
        <v>6.8</v>
      </c>
      <c r="BV26" s="48">
        <v>6.674597706674688</v>
      </c>
      <c r="BW26" s="59">
        <v>5.5</v>
      </c>
      <c r="BX26" s="48">
        <v>6.4613924681328916</v>
      </c>
      <c r="BY26" s="59">
        <v>6.3</v>
      </c>
      <c r="BZ26" s="48">
        <v>6.0643931817497716</v>
      </c>
      <c r="CA26" s="59">
        <v>6.3</v>
      </c>
    </row>
    <row r="27" spans="2:79" x14ac:dyDescent="0.3">
      <c r="C27" s="61">
        <v>7</v>
      </c>
      <c r="D27" s="41">
        <v>15</v>
      </c>
      <c r="E27" s="5">
        <v>18</v>
      </c>
      <c r="F27" s="41">
        <v>25</v>
      </c>
      <c r="G27" s="41"/>
      <c r="H27" s="61" t="s">
        <v>170</v>
      </c>
      <c r="I27" s="59">
        <v>7.4</v>
      </c>
      <c r="J27" s="61" t="s">
        <v>171</v>
      </c>
      <c r="K27" s="61" t="s">
        <v>171</v>
      </c>
      <c r="L27" s="75">
        <v>7.2</v>
      </c>
      <c r="M27" s="61" t="s">
        <v>172</v>
      </c>
      <c r="O27" s="61">
        <v>25</v>
      </c>
      <c r="P27" s="59">
        <v>35</v>
      </c>
      <c r="Q27" s="61">
        <v>40</v>
      </c>
      <c r="S27" s="61">
        <v>4</v>
      </c>
      <c r="T27" s="59">
        <v>6.1</v>
      </c>
      <c r="U27" s="59">
        <v>5.8</v>
      </c>
      <c r="V27" s="61">
        <v>10</v>
      </c>
      <c r="X27" s="61">
        <v>27</v>
      </c>
      <c r="Y27" s="5">
        <v>28</v>
      </c>
      <c r="Z27" s="5">
        <v>32</v>
      </c>
      <c r="AA27" s="61">
        <v>32</v>
      </c>
      <c r="AC27" t="s">
        <v>176</v>
      </c>
      <c r="AD27" t="s">
        <v>180</v>
      </c>
      <c r="AE27" t="s">
        <v>177</v>
      </c>
      <c r="AG27" s="59">
        <v>35</v>
      </c>
      <c r="AH27" s="5">
        <v>20</v>
      </c>
      <c r="AI27" s="5">
        <v>18</v>
      </c>
      <c r="AJ27" s="5">
        <v>22</v>
      </c>
      <c r="AK27" s="5">
        <v>20</v>
      </c>
      <c r="AL27" s="5">
        <v>22</v>
      </c>
      <c r="AM27" s="155"/>
      <c r="AN27" t="s">
        <v>123</v>
      </c>
      <c r="AO27" s="5">
        <v>20</v>
      </c>
      <c r="AP27" s="5">
        <v>15</v>
      </c>
      <c r="AQ27" s="5">
        <v>18</v>
      </c>
      <c r="AR27" s="5">
        <v>21</v>
      </c>
      <c r="AS27" s="5">
        <v>22</v>
      </c>
      <c r="AT27" s="5">
        <v>17</v>
      </c>
      <c r="AU27" s="5">
        <v>21</v>
      </c>
      <c r="AV27" s="5">
        <v>22</v>
      </c>
      <c r="AW27" s="5"/>
      <c r="AX27" s="5"/>
      <c r="AY27" s="5"/>
      <c r="AZ27" s="5"/>
      <c r="BQ27" s="59">
        <v>49</v>
      </c>
      <c r="BR27" s="48">
        <v>5.9864403732394722</v>
      </c>
      <c r="BS27" s="63">
        <v>6.6994691200981</v>
      </c>
      <c r="BT27" s="48">
        <v>6.7576200276893541</v>
      </c>
      <c r="BU27" s="59">
        <v>6.8</v>
      </c>
      <c r="BV27" s="48">
        <v>6.6238900987935869</v>
      </c>
      <c r="BW27" s="59">
        <v>6.1</v>
      </c>
      <c r="BX27" s="48">
        <v>6.2868543568909319</v>
      </c>
      <c r="BY27" s="59">
        <v>5.5</v>
      </c>
      <c r="BZ27" s="48">
        <v>6.7484043683271082</v>
      </c>
      <c r="CA27" s="59">
        <v>5.5</v>
      </c>
    </row>
    <row r="28" spans="2:79" x14ac:dyDescent="0.3">
      <c r="B28">
        <f>AVERAGE(E28:E35)</f>
        <v>19.5</v>
      </c>
      <c r="C28" s="61">
        <v>8</v>
      </c>
      <c r="D28" s="41">
        <v>15</v>
      </c>
      <c r="E28" s="5">
        <v>21</v>
      </c>
      <c r="F28" s="41">
        <v>25</v>
      </c>
      <c r="G28" s="41"/>
      <c r="H28" s="61" t="s">
        <v>170</v>
      </c>
      <c r="I28" s="59">
        <v>7.1</v>
      </c>
      <c r="J28" s="61" t="s">
        <v>171</v>
      </c>
      <c r="K28" s="61" t="s">
        <v>171</v>
      </c>
      <c r="L28" s="75">
        <v>7.7</v>
      </c>
      <c r="M28" s="61" t="s">
        <v>172</v>
      </c>
      <c r="O28" s="61">
        <v>25</v>
      </c>
      <c r="P28" s="59">
        <v>30</v>
      </c>
      <c r="Q28" s="61">
        <v>40</v>
      </c>
      <c r="S28" s="61">
        <v>4</v>
      </c>
      <c r="T28" s="59">
        <v>6.7</v>
      </c>
      <c r="U28" s="59">
        <v>6.4</v>
      </c>
      <c r="V28" s="61">
        <v>10</v>
      </c>
      <c r="X28" s="61">
        <v>27</v>
      </c>
      <c r="Y28" s="5">
        <v>26</v>
      </c>
      <c r="Z28" s="5">
        <v>32</v>
      </c>
      <c r="AA28" s="61">
        <v>32</v>
      </c>
      <c r="AC28" t="s">
        <v>176</v>
      </c>
      <c r="AD28" t="s">
        <v>184</v>
      </c>
      <c r="AE28" t="s">
        <v>177</v>
      </c>
      <c r="AG28" s="59">
        <v>42</v>
      </c>
      <c r="AH28" s="5">
        <v>19</v>
      </c>
      <c r="AI28" s="5">
        <v>17</v>
      </c>
      <c r="AJ28" s="5">
        <v>20</v>
      </c>
      <c r="AK28" s="5">
        <v>21</v>
      </c>
      <c r="AL28" s="5">
        <v>17</v>
      </c>
      <c r="AM28" s="155"/>
      <c r="AN28" t="s">
        <v>50</v>
      </c>
      <c r="AO28" s="5">
        <v>16</v>
      </c>
      <c r="AP28" s="5">
        <v>25</v>
      </c>
      <c r="AQ28" s="5">
        <v>15</v>
      </c>
      <c r="AR28" s="5">
        <v>25</v>
      </c>
      <c r="AS28" s="5">
        <v>17</v>
      </c>
      <c r="AT28" s="5">
        <v>23</v>
      </c>
      <c r="AU28" s="5">
        <v>21</v>
      </c>
      <c r="AV28" s="5">
        <v>24</v>
      </c>
      <c r="AW28" s="5"/>
      <c r="AX28" s="5"/>
      <c r="AY28" s="5"/>
      <c r="AZ28" s="5"/>
      <c r="BQ28" s="59">
        <v>56</v>
      </c>
      <c r="BR28" s="63">
        <v>6.5438131742956136</v>
      </c>
      <c r="BS28" s="63">
        <v>5.8039774471912011</v>
      </c>
      <c r="BT28" s="63">
        <v>5.633146176812712</v>
      </c>
      <c r="BU28" s="59">
        <v>5.8</v>
      </c>
      <c r="BV28" s="63">
        <v>6.9042904671919452</v>
      </c>
      <c r="BW28" s="63">
        <v>5.5664953734079567</v>
      </c>
      <c r="BX28" s="63">
        <v>5.69362360817889</v>
      </c>
      <c r="BY28" s="59">
        <v>5.7</v>
      </c>
      <c r="BZ28" s="63">
        <v>7.0875400976024041</v>
      </c>
      <c r="CA28" s="59">
        <v>5.5</v>
      </c>
    </row>
    <row r="29" spans="2:79" x14ac:dyDescent="0.3">
      <c r="C29" s="61">
        <v>9</v>
      </c>
      <c r="D29" s="41">
        <v>15</v>
      </c>
      <c r="E29" s="5">
        <v>22</v>
      </c>
      <c r="F29" s="41">
        <v>25</v>
      </c>
      <c r="G29" s="41"/>
      <c r="H29" s="61" t="s">
        <v>170</v>
      </c>
      <c r="I29" s="59">
        <v>7.5</v>
      </c>
      <c r="J29" s="61" t="s">
        <v>171</v>
      </c>
      <c r="K29" s="61" t="s">
        <v>171</v>
      </c>
      <c r="L29" s="75">
        <v>7.3</v>
      </c>
      <c r="M29" s="61" t="s">
        <v>172</v>
      </c>
      <c r="O29" s="61">
        <v>25</v>
      </c>
      <c r="P29" s="59">
        <v>36</v>
      </c>
      <c r="Q29" s="61">
        <v>40</v>
      </c>
      <c r="S29" s="61">
        <v>4</v>
      </c>
      <c r="T29" s="59">
        <v>6.2</v>
      </c>
      <c r="U29" s="59">
        <v>6.8</v>
      </c>
      <c r="V29" s="61">
        <v>10</v>
      </c>
      <c r="X29" s="61">
        <v>27</v>
      </c>
      <c r="Y29" s="5">
        <v>29</v>
      </c>
      <c r="Z29" s="5">
        <v>29</v>
      </c>
      <c r="AA29" s="61">
        <v>32</v>
      </c>
      <c r="AC29" t="s">
        <v>176</v>
      </c>
      <c r="AD29" t="s">
        <v>178</v>
      </c>
      <c r="AE29" t="s">
        <v>177</v>
      </c>
      <c r="AG29" s="59">
        <v>49</v>
      </c>
      <c r="AH29" s="5">
        <v>21</v>
      </c>
      <c r="AI29" s="5">
        <v>20</v>
      </c>
      <c r="AJ29" s="5">
        <v>22</v>
      </c>
      <c r="AK29" s="5">
        <v>19</v>
      </c>
      <c r="AL29" s="5">
        <v>21</v>
      </c>
      <c r="AM29" s="155"/>
      <c r="AN29" t="s">
        <v>49</v>
      </c>
      <c r="AO29" s="5">
        <v>21</v>
      </c>
      <c r="AP29" s="5">
        <v>22</v>
      </c>
      <c r="AQ29" s="5">
        <v>19</v>
      </c>
      <c r="AR29" s="5">
        <v>17</v>
      </c>
      <c r="AS29" s="5">
        <v>24</v>
      </c>
      <c r="AT29" s="5">
        <v>22</v>
      </c>
      <c r="AU29" s="5">
        <v>24</v>
      </c>
      <c r="AV29" s="5">
        <v>16</v>
      </c>
      <c r="AW29" s="5"/>
      <c r="AX29" s="5"/>
      <c r="AY29" s="5"/>
      <c r="AZ29" s="5"/>
      <c r="BQ29" s="59">
        <v>63</v>
      </c>
      <c r="BR29" s="63">
        <v>6.6196506444655583</v>
      </c>
      <c r="BS29" s="59">
        <v>5.7</v>
      </c>
      <c r="BT29" s="63">
        <v>7.1711899969885238</v>
      </c>
      <c r="BU29" s="59">
        <v>5.6</v>
      </c>
      <c r="BV29" s="63">
        <v>5.7045074417307999</v>
      </c>
      <c r="BW29" s="63">
        <v>5.9538234386783504</v>
      </c>
      <c r="BX29" s="63">
        <v>6.9497042018852593</v>
      </c>
      <c r="BY29" s="59">
        <v>6.4</v>
      </c>
      <c r="BZ29" s="63">
        <v>6.4821944303667589</v>
      </c>
      <c r="CA29" s="59">
        <v>5.5</v>
      </c>
    </row>
    <row r="30" spans="2:79" x14ac:dyDescent="0.3">
      <c r="C30" s="61">
        <v>10</v>
      </c>
      <c r="D30" s="41">
        <v>15</v>
      </c>
      <c r="E30" s="5">
        <v>19</v>
      </c>
      <c r="F30" s="41">
        <v>25</v>
      </c>
      <c r="G30" s="41"/>
      <c r="H30" s="61" t="s">
        <v>170</v>
      </c>
      <c r="I30" s="59">
        <v>7.4</v>
      </c>
      <c r="J30" s="61" t="s">
        <v>171</v>
      </c>
      <c r="K30" s="61" t="s">
        <v>171</v>
      </c>
      <c r="L30" s="75">
        <v>7.3</v>
      </c>
      <c r="M30" s="61" t="s">
        <v>172</v>
      </c>
      <c r="O30" s="61">
        <v>25</v>
      </c>
      <c r="P30" s="59">
        <v>36</v>
      </c>
      <c r="Q30" s="61">
        <v>40</v>
      </c>
      <c r="S30" s="61">
        <v>4</v>
      </c>
      <c r="T30" s="59">
        <v>5.8</v>
      </c>
      <c r="U30" s="59">
        <v>6.8</v>
      </c>
      <c r="V30" s="61">
        <v>10</v>
      </c>
      <c r="X30" s="61">
        <v>27</v>
      </c>
      <c r="Y30" s="5">
        <v>29</v>
      </c>
      <c r="Z30" s="5">
        <v>31</v>
      </c>
      <c r="AA30" s="61">
        <v>32</v>
      </c>
      <c r="AC30" t="s">
        <v>176</v>
      </c>
      <c r="AD30" t="s">
        <v>178</v>
      </c>
      <c r="AE30" t="s">
        <v>177</v>
      </c>
      <c r="AG30" s="59">
        <v>56</v>
      </c>
      <c r="AH30" s="59">
        <v>19</v>
      </c>
      <c r="AI30" s="59">
        <v>15</v>
      </c>
      <c r="AJ30" s="59">
        <v>22</v>
      </c>
      <c r="AK30" s="59">
        <v>21</v>
      </c>
      <c r="AL30" s="59">
        <v>22</v>
      </c>
      <c r="AM30" s="155"/>
      <c r="AN30" t="s">
        <v>48</v>
      </c>
      <c r="AO30" s="5">
        <v>25</v>
      </c>
      <c r="AP30" s="5">
        <v>22</v>
      </c>
      <c r="AQ30" s="5">
        <v>20</v>
      </c>
      <c r="AR30" s="5">
        <v>19</v>
      </c>
      <c r="AS30" s="5">
        <v>24</v>
      </c>
      <c r="AT30" s="5">
        <v>20</v>
      </c>
      <c r="AU30" s="5">
        <v>20</v>
      </c>
      <c r="AV30" s="5">
        <v>22</v>
      </c>
      <c r="AW30" s="5"/>
      <c r="AX30" s="5"/>
      <c r="AY30" s="5"/>
      <c r="AZ30" s="5"/>
      <c r="BQ30" s="59">
        <v>70</v>
      </c>
      <c r="BR30" s="63">
        <v>6.7253964084329292</v>
      </c>
      <c r="BS30" s="59">
        <v>6.4</v>
      </c>
      <c r="BT30" s="63">
        <v>6.5468357012204876</v>
      </c>
      <c r="BU30" s="59">
        <v>5.5</v>
      </c>
      <c r="BV30" s="63">
        <v>7.1653082140737343</v>
      </c>
      <c r="BW30" s="63">
        <v>7.0027154763018826</v>
      </c>
      <c r="BX30" s="63">
        <v>6.8852638931050834</v>
      </c>
      <c r="BY30" s="59">
        <v>6.5</v>
      </c>
      <c r="BZ30" s="63">
        <v>5.7483116701901569</v>
      </c>
      <c r="CA30" s="59">
        <v>6.1</v>
      </c>
    </row>
    <row r="31" spans="2:79" x14ac:dyDescent="0.3">
      <c r="C31" s="61">
        <v>11</v>
      </c>
      <c r="D31" s="41">
        <v>15</v>
      </c>
      <c r="E31" s="5">
        <v>22</v>
      </c>
      <c r="F31" s="41">
        <v>25</v>
      </c>
      <c r="G31" s="41"/>
      <c r="H31" s="61" t="s">
        <v>170</v>
      </c>
      <c r="I31" s="59">
        <v>7.7</v>
      </c>
      <c r="J31" s="61" t="s">
        <v>171</v>
      </c>
      <c r="K31" s="61" t="s">
        <v>171</v>
      </c>
      <c r="L31" s="75">
        <v>7.1</v>
      </c>
      <c r="M31" s="61" t="s">
        <v>172</v>
      </c>
      <c r="O31" s="61">
        <v>25</v>
      </c>
      <c r="P31" s="59">
        <v>36</v>
      </c>
      <c r="Q31" s="61">
        <v>40</v>
      </c>
      <c r="S31" s="61">
        <v>4</v>
      </c>
      <c r="T31" s="59">
        <v>6.6</v>
      </c>
      <c r="U31" s="59">
        <v>5.8</v>
      </c>
      <c r="V31" s="61">
        <v>10</v>
      </c>
      <c r="X31" s="61">
        <v>27</v>
      </c>
      <c r="Y31" s="5">
        <v>28</v>
      </c>
      <c r="Z31" s="5">
        <v>30</v>
      </c>
      <c r="AA31" s="61">
        <v>32</v>
      </c>
      <c r="AC31" t="s">
        <v>176</v>
      </c>
      <c r="AD31" t="s">
        <v>178</v>
      </c>
      <c r="AE31" t="s">
        <v>177</v>
      </c>
      <c r="AG31" s="59">
        <v>63</v>
      </c>
      <c r="AH31" s="59">
        <v>17</v>
      </c>
      <c r="AI31" s="59">
        <v>25</v>
      </c>
      <c r="AJ31" s="59">
        <v>20</v>
      </c>
      <c r="AK31" s="59">
        <v>21</v>
      </c>
      <c r="AL31" s="59">
        <v>24</v>
      </c>
      <c r="AM31" s="155"/>
      <c r="AN31" t="s">
        <v>47</v>
      </c>
      <c r="AO31" s="5">
        <v>19</v>
      </c>
      <c r="AP31" s="5">
        <v>22</v>
      </c>
      <c r="AQ31" s="5">
        <v>21</v>
      </c>
      <c r="AR31" s="5">
        <v>15</v>
      </c>
      <c r="AS31" s="5">
        <v>20</v>
      </c>
      <c r="AT31" s="5">
        <v>18</v>
      </c>
      <c r="AU31" s="5">
        <v>21</v>
      </c>
      <c r="AV31" s="5">
        <v>20</v>
      </c>
      <c r="AW31" s="5"/>
      <c r="AX31" s="5"/>
      <c r="AY31" s="5"/>
      <c r="AZ31" s="5"/>
      <c r="BQ31" s="59">
        <v>77</v>
      </c>
      <c r="BR31" s="63">
        <v>7.1679205436505811</v>
      </c>
      <c r="BS31" s="59">
        <v>6.5</v>
      </c>
      <c r="BT31" s="63">
        <v>6.8459648264678394</v>
      </c>
      <c r="BU31" s="59">
        <v>6.9</v>
      </c>
      <c r="BV31" s="63">
        <v>6.6405350041285738</v>
      </c>
      <c r="BW31" s="63">
        <v>5.9224285218123383</v>
      </c>
      <c r="BX31" s="63">
        <v>5.6293833246393792</v>
      </c>
      <c r="BY31" s="59">
        <v>6.7</v>
      </c>
      <c r="BZ31" s="63">
        <v>6.7378131503772503</v>
      </c>
      <c r="CA31" s="59">
        <v>6.8</v>
      </c>
    </row>
    <row r="32" spans="2:79" x14ac:dyDescent="0.3">
      <c r="C32" s="61">
        <v>12</v>
      </c>
      <c r="D32" s="41">
        <v>15</v>
      </c>
      <c r="E32" s="5">
        <v>21</v>
      </c>
      <c r="F32" s="41">
        <v>25</v>
      </c>
      <c r="G32" s="41"/>
      <c r="H32" s="61" t="s">
        <v>170</v>
      </c>
      <c r="I32" s="59">
        <v>7.3</v>
      </c>
      <c r="J32" s="61" t="s">
        <v>171</v>
      </c>
      <c r="K32" s="61" t="s">
        <v>171</v>
      </c>
      <c r="L32" s="75">
        <v>7.7</v>
      </c>
      <c r="M32" s="61" t="s">
        <v>172</v>
      </c>
      <c r="N32" s="32"/>
      <c r="O32" s="61">
        <v>25</v>
      </c>
      <c r="P32" s="5">
        <v>26</v>
      </c>
      <c r="Q32" s="61">
        <v>40</v>
      </c>
      <c r="S32" s="61">
        <v>4</v>
      </c>
      <c r="T32" s="59">
        <v>5.7</v>
      </c>
      <c r="U32" s="59">
        <v>6.3</v>
      </c>
      <c r="V32" s="61">
        <v>10</v>
      </c>
      <c r="X32" s="61">
        <v>27</v>
      </c>
      <c r="Y32" s="5">
        <v>26</v>
      </c>
      <c r="Z32" s="5">
        <v>32</v>
      </c>
      <c r="AA32" s="61">
        <v>32</v>
      </c>
      <c r="AC32" t="s">
        <v>176</v>
      </c>
      <c r="AD32" t="s">
        <v>179</v>
      </c>
      <c r="AE32" t="s">
        <v>177</v>
      </c>
      <c r="AG32" s="59">
        <v>70</v>
      </c>
      <c r="AH32" s="59">
        <v>24</v>
      </c>
      <c r="AI32" s="59">
        <v>15</v>
      </c>
      <c r="AJ32" s="59">
        <v>19</v>
      </c>
      <c r="AK32" s="59">
        <v>21</v>
      </c>
      <c r="AL32" s="59">
        <v>18</v>
      </c>
      <c r="AM32" s="155"/>
      <c r="AN32" t="s">
        <v>46</v>
      </c>
      <c r="AO32" s="5">
        <v>20</v>
      </c>
      <c r="AP32" s="5">
        <v>15</v>
      </c>
      <c r="AQ32" s="5">
        <v>21</v>
      </c>
      <c r="AR32" s="5">
        <v>17</v>
      </c>
      <c r="AS32" s="5">
        <v>19</v>
      </c>
      <c r="AT32" s="5">
        <v>21</v>
      </c>
      <c r="AU32" s="5">
        <v>17</v>
      </c>
      <c r="AV32" s="5">
        <v>24</v>
      </c>
      <c r="AW32" s="5"/>
      <c r="AX32" s="5"/>
      <c r="AY32" s="5"/>
      <c r="AZ32" s="5"/>
      <c r="BQ32" s="59">
        <v>84</v>
      </c>
      <c r="BR32" s="63">
        <v>5.957143203960694</v>
      </c>
      <c r="BS32" s="59">
        <v>6.7</v>
      </c>
      <c r="BT32" s="63">
        <v>6.5995773529078798</v>
      </c>
      <c r="BU32" s="59">
        <v>6.3</v>
      </c>
      <c r="BV32" s="63">
        <v>5.6503282215337602</v>
      </c>
      <c r="BW32" s="63">
        <v>6.6426709191512376</v>
      </c>
      <c r="BX32" s="63">
        <v>6.9691689055314789</v>
      </c>
      <c r="BY32" s="59">
        <v>5.7</v>
      </c>
      <c r="BZ32" s="63">
        <v>5.5435396227763025</v>
      </c>
      <c r="CA32" s="59">
        <v>5.6</v>
      </c>
    </row>
    <row r="33" spans="2:79" x14ac:dyDescent="0.3">
      <c r="C33" s="61">
        <v>13</v>
      </c>
      <c r="D33" s="41">
        <v>15</v>
      </c>
      <c r="E33" s="5">
        <v>15</v>
      </c>
      <c r="F33" s="41">
        <v>25</v>
      </c>
      <c r="G33" s="41"/>
      <c r="H33" s="61" t="s">
        <v>170</v>
      </c>
      <c r="I33" s="59">
        <v>7.6</v>
      </c>
      <c r="J33" s="61" t="s">
        <v>171</v>
      </c>
      <c r="K33" s="61" t="s">
        <v>171</v>
      </c>
      <c r="L33" s="75">
        <v>7.6</v>
      </c>
      <c r="M33" s="61" t="s">
        <v>172</v>
      </c>
      <c r="N33" s="32"/>
      <c r="O33" s="61">
        <v>25</v>
      </c>
      <c r="P33" s="59">
        <v>26</v>
      </c>
      <c r="Q33" s="61">
        <v>40</v>
      </c>
      <c r="S33" s="61">
        <v>4</v>
      </c>
      <c r="T33" s="59">
        <v>5.6</v>
      </c>
      <c r="U33" s="59">
        <v>6.2</v>
      </c>
      <c r="V33" s="61">
        <v>10</v>
      </c>
      <c r="X33" s="61">
        <v>27</v>
      </c>
      <c r="Y33" s="5">
        <v>26</v>
      </c>
      <c r="Z33" s="5">
        <v>31</v>
      </c>
      <c r="AA33" s="61">
        <v>32</v>
      </c>
      <c r="AC33" t="s">
        <v>176</v>
      </c>
      <c r="AD33" t="s">
        <v>182</v>
      </c>
      <c r="AE33" t="s">
        <v>177</v>
      </c>
      <c r="AG33" s="59">
        <v>77</v>
      </c>
      <c r="AH33" s="59">
        <v>20</v>
      </c>
      <c r="AI33" s="59">
        <v>21</v>
      </c>
      <c r="AJ33" s="59">
        <v>22</v>
      </c>
      <c r="AK33" s="59">
        <v>20</v>
      </c>
      <c r="AL33" s="59">
        <v>20</v>
      </c>
      <c r="AM33" s="155"/>
      <c r="BQ33" s="59">
        <v>91</v>
      </c>
      <c r="BR33" s="63">
        <v>5.9538303738292635</v>
      </c>
      <c r="BS33" s="59">
        <v>5.7</v>
      </c>
      <c r="BT33" s="63">
        <v>5.5556844879111491</v>
      </c>
      <c r="BU33" s="59">
        <v>5.7</v>
      </c>
      <c r="BV33" s="63">
        <v>6.7409741751452703</v>
      </c>
      <c r="BW33" s="63">
        <v>5.9368961586704003</v>
      </c>
      <c r="BX33" s="63">
        <v>7.1497271964010922</v>
      </c>
      <c r="BY33" s="59">
        <v>7</v>
      </c>
      <c r="BZ33" s="63">
        <v>6.8824570162267769</v>
      </c>
      <c r="CA33" s="59">
        <v>6.1</v>
      </c>
    </row>
    <row r="34" spans="2:79" x14ac:dyDescent="0.3">
      <c r="C34" s="61">
        <v>14</v>
      </c>
      <c r="D34" s="41">
        <v>15</v>
      </c>
      <c r="E34" s="5">
        <v>20</v>
      </c>
      <c r="F34" s="41">
        <v>25</v>
      </c>
      <c r="G34" s="41"/>
      <c r="H34" s="61" t="s">
        <v>170</v>
      </c>
      <c r="I34" s="59">
        <v>7.5</v>
      </c>
      <c r="J34" s="61" t="s">
        <v>171</v>
      </c>
      <c r="K34" s="61" t="s">
        <v>171</v>
      </c>
      <c r="L34" s="75">
        <v>7.4</v>
      </c>
      <c r="M34" s="61" t="s">
        <v>172</v>
      </c>
      <c r="N34" s="32"/>
      <c r="O34" s="61">
        <v>25</v>
      </c>
      <c r="P34" s="59">
        <v>37</v>
      </c>
      <c r="Q34" s="61">
        <v>40</v>
      </c>
      <c r="S34" s="61">
        <v>4</v>
      </c>
      <c r="T34" s="59">
        <v>6.5</v>
      </c>
      <c r="U34" s="59">
        <v>5.8</v>
      </c>
      <c r="V34" s="61">
        <v>10</v>
      </c>
      <c r="X34" s="61">
        <v>27</v>
      </c>
      <c r="Y34" s="5">
        <v>29</v>
      </c>
      <c r="Z34" s="5">
        <v>32</v>
      </c>
      <c r="AA34" s="61">
        <v>32</v>
      </c>
      <c r="AC34" t="s">
        <v>176</v>
      </c>
      <c r="AD34" t="s">
        <v>178</v>
      </c>
      <c r="AE34" t="s">
        <v>177</v>
      </c>
      <c r="AG34" s="59">
        <v>84</v>
      </c>
      <c r="AH34" s="59">
        <v>16</v>
      </c>
      <c r="AI34" s="59">
        <v>19</v>
      </c>
      <c r="AJ34" s="59">
        <v>17</v>
      </c>
      <c r="AK34" s="59">
        <v>22</v>
      </c>
      <c r="AL34" s="59">
        <v>17</v>
      </c>
      <c r="AM34" s="155"/>
      <c r="BQ34" s="59">
        <v>98</v>
      </c>
      <c r="BR34" s="63">
        <v>5.9137066987240949</v>
      </c>
      <c r="BS34" s="59">
        <v>7</v>
      </c>
      <c r="BT34" s="63">
        <v>5.5769849435041712</v>
      </c>
      <c r="BU34" s="59">
        <v>5.5</v>
      </c>
      <c r="BV34" s="63">
        <v>6.3121183208551255</v>
      </c>
      <c r="BW34" s="63">
        <v>7.0530022094081213</v>
      </c>
      <c r="BX34" s="63">
        <v>6.1799754986646223</v>
      </c>
      <c r="BY34" s="59">
        <v>5.9</v>
      </c>
      <c r="BZ34" s="63">
        <v>5.5170812738285964</v>
      </c>
      <c r="CA34" s="59">
        <v>7</v>
      </c>
    </row>
    <row r="35" spans="2:79" x14ac:dyDescent="0.3">
      <c r="C35" s="61">
        <v>15</v>
      </c>
      <c r="D35" s="41">
        <v>15</v>
      </c>
      <c r="E35" s="5">
        <v>16</v>
      </c>
      <c r="F35" s="41">
        <v>25</v>
      </c>
      <c r="G35" s="41"/>
      <c r="H35" s="61" t="s">
        <v>170</v>
      </c>
      <c r="I35" s="59">
        <v>7.1</v>
      </c>
      <c r="J35" s="61" t="s">
        <v>171</v>
      </c>
      <c r="K35" s="61" t="s">
        <v>171</v>
      </c>
      <c r="L35" s="75">
        <v>7.2</v>
      </c>
      <c r="M35" s="61" t="s">
        <v>172</v>
      </c>
      <c r="N35" s="32"/>
      <c r="O35" s="61">
        <v>25</v>
      </c>
      <c r="P35" s="59">
        <v>34</v>
      </c>
      <c r="Q35" s="61">
        <v>40</v>
      </c>
      <c r="S35" s="61">
        <v>4</v>
      </c>
      <c r="T35" s="59">
        <v>6.1</v>
      </c>
      <c r="U35" s="59">
        <v>6.5</v>
      </c>
      <c r="V35" s="61">
        <v>10</v>
      </c>
      <c r="X35" s="61">
        <v>27</v>
      </c>
      <c r="Y35" s="5">
        <v>26</v>
      </c>
      <c r="Z35" s="5">
        <v>29</v>
      </c>
      <c r="AA35" s="61">
        <v>32</v>
      </c>
      <c r="AC35" t="s">
        <v>176</v>
      </c>
      <c r="AD35" t="s">
        <v>182</v>
      </c>
      <c r="AE35" t="s">
        <v>177</v>
      </c>
      <c r="AG35" s="59">
        <v>91</v>
      </c>
      <c r="AH35" s="59">
        <v>18</v>
      </c>
      <c r="AI35" s="59">
        <v>19</v>
      </c>
      <c r="AJ35" s="59">
        <v>23</v>
      </c>
      <c r="AK35" s="59">
        <v>16</v>
      </c>
      <c r="AL35" s="59">
        <v>16</v>
      </c>
      <c r="AM35" s="155"/>
      <c r="BQ35" s="59">
        <v>105</v>
      </c>
      <c r="BR35" s="63">
        <v>5.7714618925517271</v>
      </c>
      <c r="BS35" s="59">
        <v>5.9</v>
      </c>
      <c r="BT35" s="63">
        <v>7.0330275028531339</v>
      </c>
      <c r="BU35" s="59">
        <v>5.5</v>
      </c>
      <c r="BV35" s="63">
        <v>5.9507491349727566</v>
      </c>
      <c r="BW35" s="63">
        <v>6.7011491833308163</v>
      </c>
      <c r="BX35" s="63">
        <v>7.0071739075980926</v>
      </c>
      <c r="BY35" s="59">
        <v>6.9</v>
      </c>
      <c r="BZ35" s="63">
        <v>6.3601576514459595</v>
      </c>
      <c r="CA35" s="59">
        <v>5.5</v>
      </c>
    </row>
    <row r="36" spans="2:79" x14ac:dyDescent="0.3">
      <c r="B36">
        <f>AVERAGE(E36:E42)</f>
        <v>20.714285714285715</v>
      </c>
      <c r="C36" s="61">
        <v>16</v>
      </c>
      <c r="D36" s="41">
        <v>15</v>
      </c>
      <c r="E36" s="5">
        <v>25</v>
      </c>
      <c r="F36" s="41">
        <v>25</v>
      </c>
      <c r="G36" s="41"/>
      <c r="H36" s="61" t="s">
        <v>170</v>
      </c>
      <c r="I36" s="59">
        <v>7.1</v>
      </c>
      <c r="J36" s="61" t="s">
        <v>171</v>
      </c>
      <c r="K36" s="61" t="s">
        <v>171</v>
      </c>
      <c r="L36" s="75">
        <v>7.5</v>
      </c>
      <c r="M36" s="61" t="s">
        <v>172</v>
      </c>
      <c r="N36" s="32"/>
      <c r="O36" s="61">
        <v>25</v>
      </c>
      <c r="P36" s="59">
        <v>28</v>
      </c>
      <c r="Q36" s="61">
        <v>40</v>
      </c>
      <c r="S36" s="61">
        <v>4</v>
      </c>
      <c r="T36" s="59">
        <v>5.8</v>
      </c>
      <c r="U36" s="59">
        <v>5.6</v>
      </c>
      <c r="V36" s="61">
        <v>10</v>
      </c>
      <c r="X36" s="61">
        <v>27</v>
      </c>
      <c r="Y36" s="5">
        <v>26</v>
      </c>
      <c r="Z36" s="5">
        <v>30</v>
      </c>
      <c r="AA36" s="61">
        <v>32</v>
      </c>
      <c r="AC36" t="s">
        <v>176</v>
      </c>
      <c r="AD36" t="s">
        <v>179</v>
      </c>
      <c r="AE36" t="s">
        <v>177</v>
      </c>
      <c r="AG36" s="59">
        <v>98</v>
      </c>
      <c r="AH36" s="59">
        <v>24</v>
      </c>
      <c r="AI36" s="59">
        <v>23</v>
      </c>
      <c r="AJ36" s="59">
        <v>18</v>
      </c>
      <c r="AK36" s="59">
        <v>25</v>
      </c>
      <c r="AL36" s="59">
        <v>21</v>
      </c>
      <c r="AM36" s="155"/>
      <c r="BB36" s="59"/>
    </row>
    <row r="37" spans="2:79" x14ac:dyDescent="0.3">
      <c r="C37" s="61">
        <v>17</v>
      </c>
      <c r="D37" s="41">
        <v>15</v>
      </c>
      <c r="E37" s="5">
        <v>15</v>
      </c>
      <c r="F37" s="41">
        <v>25</v>
      </c>
      <c r="G37" s="41"/>
      <c r="H37" s="61" t="s">
        <v>170</v>
      </c>
      <c r="I37" s="59">
        <v>7.2</v>
      </c>
      <c r="J37" s="61" t="s">
        <v>171</v>
      </c>
      <c r="K37" s="61" t="s">
        <v>171</v>
      </c>
      <c r="L37" s="75">
        <v>7.2</v>
      </c>
      <c r="M37" s="61" t="s">
        <v>172</v>
      </c>
      <c r="N37" s="32"/>
      <c r="O37" s="61">
        <v>25</v>
      </c>
      <c r="P37" s="59">
        <v>37</v>
      </c>
      <c r="Q37" s="61">
        <v>40</v>
      </c>
      <c r="S37" s="61">
        <v>4</v>
      </c>
      <c r="T37" s="59">
        <v>6.1</v>
      </c>
      <c r="U37" s="59">
        <v>5.5</v>
      </c>
      <c r="V37" s="61">
        <v>10</v>
      </c>
      <c r="X37" s="61">
        <v>27</v>
      </c>
      <c r="Y37" s="5">
        <v>29</v>
      </c>
      <c r="Z37" s="5">
        <v>30</v>
      </c>
      <c r="AA37" s="61">
        <v>32</v>
      </c>
      <c r="AC37" t="s">
        <v>176</v>
      </c>
      <c r="AD37" t="s">
        <v>183</v>
      </c>
      <c r="AE37" t="s">
        <v>177</v>
      </c>
      <c r="AG37" s="59">
        <v>105</v>
      </c>
      <c r="AH37" s="59">
        <v>20</v>
      </c>
      <c r="AI37" s="59">
        <v>23</v>
      </c>
      <c r="AJ37" s="59">
        <v>21</v>
      </c>
      <c r="AK37" s="59">
        <v>18</v>
      </c>
      <c r="AL37" s="59">
        <v>19</v>
      </c>
      <c r="AM37" s="155"/>
    </row>
    <row r="38" spans="2:79" x14ac:dyDescent="0.3">
      <c r="C38" s="61">
        <v>18</v>
      </c>
      <c r="D38" s="41">
        <v>15</v>
      </c>
      <c r="E38" s="5">
        <v>25</v>
      </c>
      <c r="F38" s="41">
        <v>25</v>
      </c>
      <c r="G38" s="41"/>
      <c r="H38" s="61" t="s">
        <v>170</v>
      </c>
      <c r="I38" s="59">
        <v>7.1</v>
      </c>
      <c r="J38" s="61" t="s">
        <v>171</v>
      </c>
      <c r="K38" s="61" t="s">
        <v>171</v>
      </c>
      <c r="L38" s="75">
        <v>7.4</v>
      </c>
      <c r="M38" s="61" t="s">
        <v>172</v>
      </c>
      <c r="N38" s="32"/>
      <c r="O38" s="61">
        <v>25</v>
      </c>
      <c r="P38" s="59">
        <v>39</v>
      </c>
      <c r="Q38" s="61">
        <v>40</v>
      </c>
      <c r="S38" s="61">
        <v>4</v>
      </c>
      <c r="T38" s="59">
        <v>6.5</v>
      </c>
      <c r="U38" s="59">
        <v>6.9</v>
      </c>
      <c r="V38" s="61">
        <v>10</v>
      </c>
      <c r="X38" s="61">
        <v>27</v>
      </c>
      <c r="Y38" s="5">
        <v>28</v>
      </c>
      <c r="Z38" s="5">
        <v>31</v>
      </c>
      <c r="AA38" s="61">
        <v>32</v>
      </c>
      <c r="AC38" t="s">
        <v>176</v>
      </c>
      <c r="AD38" t="s">
        <v>180</v>
      </c>
      <c r="AE38" t="s">
        <v>177</v>
      </c>
      <c r="AG38" s="59"/>
      <c r="AH38" s="59"/>
      <c r="AI38" s="59"/>
      <c r="AJ38" s="59"/>
      <c r="AK38" s="59"/>
      <c r="AL38" s="59"/>
      <c r="AM38" s="155"/>
    </row>
    <row r="39" spans="2:79" x14ac:dyDescent="0.3">
      <c r="C39" s="61">
        <v>19</v>
      </c>
      <c r="D39" s="41">
        <v>15</v>
      </c>
      <c r="E39" s="5">
        <v>17</v>
      </c>
      <c r="F39" s="41">
        <v>25</v>
      </c>
      <c r="G39" s="41"/>
      <c r="H39" s="61" t="s">
        <v>170</v>
      </c>
      <c r="I39" s="59">
        <v>7.6</v>
      </c>
      <c r="J39" s="61" t="s">
        <v>171</v>
      </c>
      <c r="K39" s="61" t="s">
        <v>171</v>
      </c>
      <c r="L39" s="75">
        <v>7.5</v>
      </c>
      <c r="M39" s="61" t="s">
        <v>172</v>
      </c>
      <c r="N39" s="32"/>
      <c r="O39" s="61">
        <v>25</v>
      </c>
      <c r="P39" s="59">
        <v>31</v>
      </c>
      <c r="Q39" s="61">
        <v>40</v>
      </c>
      <c r="S39" s="61">
        <v>4</v>
      </c>
      <c r="T39" s="59">
        <v>6.7</v>
      </c>
      <c r="U39" s="59">
        <v>6.3</v>
      </c>
      <c r="V39" s="61">
        <v>10</v>
      </c>
      <c r="X39" s="61">
        <v>27</v>
      </c>
      <c r="Y39" s="5">
        <v>27</v>
      </c>
      <c r="Z39" s="5">
        <v>31</v>
      </c>
      <c r="AA39" s="61">
        <v>32</v>
      </c>
      <c r="AC39" t="s">
        <v>176</v>
      </c>
      <c r="AD39" t="s">
        <v>182</v>
      </c>
      <c r="AE39" t="s">
        <v>177</v>
      </c>
      <c r="AG39" s="59" t="s">
        <v>57</v>
      </c>
      <c r="AH39" s="59" t="s">
        <v>50</v>
      </c>
      <c r="AI39" s="59" t="s">
        <v>49</v>
      </c>
      <c r="AJ39" s="59" t="s">
        <v>48</v>
      </c>
      <c r="AK39" s="59" t="s">
        <v>47</v>
      </c>
      <c r="AL39" s="59" t="s">
        <v>46</v>
      </c>
      <c r="AM39" s="155"/>
    </row>
    <row r="40" spans="2:79" x14ac:dyDescent="0.3">
      <c r="C40" s="61">
        <v>20</v>
      </c>
      <c r="D40" s="41">
        <v>15</v>
      </c>
      <c r="E40" s="5">
        <v>21</v>
      </c>
      <c r="F40" s="41">
        <v>25</v>
      </c>
      <c r="G40" s="41"/>
      <c r="H40" s="61" t="s">
        <v>170</v>
      </c>
      <c r="I40" s="59">
        <v>7.5</v>
      </c>
      <c r="J40" s="61" t="s">
        <v>171</v>
      </c>
      <c r="K40" s="61" t="s">
        <v>171</v>
      </c>
      <c r="L40" s="75">
        <v>7.3</v>
      </c>
      <c r="M40" s="61" t="s">
        <v>172</v>
      </c>
      <c r="N40" s="32"/>
      <c r="O40" s="61">
        <v>25</v>
      </c>
      <c r="P40" s="59">
        <v>29</v>
      </c>
      <c r="Q40" s="61">
        <v>40</v>
      </c>
      <c r="S40" s="61">
        <v>4</v>
      </c>
      <c r="T40" s="59">
        <v>6.9</v>
      </c>
      <c r="U40" s="59">
        <v>5.7</v>
      </c>
      <c r="V40" s="61">
        <v>10</v>
      </c>
      <c r="X40" s="61">
        <v>27</v>
      </c>
      <c r="Y40" s="5">
        <v>26</v>
      </c>
      <c r="Z40" s="5">
        <v>31</v>
      </c>
      <c r="AA40" s="61">
        <v>32</v>
      </c>
      <c r="AC40" t="s">
        <v>176</v>
      </c>
      <c r="AD40" t="s">
        <v>178</v>
      </c>
      <c r="AE40" t="s">
        <v>177</v>
      </c>
      <c r="AG40" s="59">
        <v>7</v>
      </c>
      <c r="AH40" s="5">
        <v>16</v>
      </c>
      <c r="AI40" s="5">
        <v>21</v>
      </c>
      <c r="AJ40" s="5">
        <v>25</v>
      </c>
      <c r="AK40" s="5">
        <v>19</v>
      </c>
      <c r="AL40" s="5">
        <v>20</v>
      </c>
      <c r="AM40" s="155"/>
    </row>
    <row r="41" spans="2:79" x14ac:dyDescent="0.3">
      <c r="C41" s="61">
        <v>21</v>
      </c>
      <c r="D41" s="41">
        <v>15</v>
      </c>
      <c r="E41" s="5">
        <v>22</v>
      </c>
      <c r="F41" s="41">
        <v>25</v>
      </c>
      <c r="G41" s="41"/>
      <c r="H41" s="61" t="s">
        <v>170</v>
      </c>
      <c r="I41" s="59">
        <v>7.1</v>
      </c>
      <c r="J41" s="61" t="s">
        <v>171</v>
      </c>
      <c r="K41" s="61" t="s">
        <v>171</v>
      </c>
      <c r="L41" s="75">
        <v>7.4</v>
      </c>
      <c r="M41" s="61" t="s">
        <v>172</v>
      </c>
      <c r="N41" s="32"/>
      <c r="O41" s="61">
        <v>25</v>
      </c>
      <c r="P41" s="59">
        <v>29</v>
      </c>
      <c r="Q41" s="61">
        <v>40</v>
      </c>
      <c r="S41" s="61">
        <v>4</v>
      </c>
      <c r="T41" s="59">
        <v>6.5</v>
      </c>
      <c r="U41" s="59">
        <v>5.5</v>
      </c>
      <c r="V41" s="61">
        <v>10</v>
      </c>
      <c r="X41" s="61">
        <v>27</v>
      </c>
      <c r="Y41" s="5">
        <v>27</v>
      </c>
      <c r="Z41" s="5">
        <v>30</v>
      </c>
      <c r="AA41" s="61">
        <v>32</v>
      </c>
      <c r="AC41" t="s">
        <v>176</v>
      </c>
      <c r="AD41" t="s">
        <v>179</v>
      </c>
      <c r="AE41" t="s">
        <v>177</v>
      </c>
      <c r="AG41" s="59">
        <v>14</v>
      </c>
      <c r="AH41" s="5">
        <v>25</v>
      </c>
      <c r="AI41" s="5">
        <v>22</v>
      </c>
      <c r="AJ41" s="5">
        <v>22</v>
      </c>
      <c r="AK41" s="5">
        <v>22</v>
      </c>
      <c r="AL41" s="5">
        <v>15</v>
      </c>
      <c r="AM41" s="155"/>
    </row>
    <row r="42" spans="2:79" x14ac:dyDescent="0.3">
      <c r="C42" s="61">
        <v>22</v>
      </c>
      <c r="D42" s="41">
        <v>15</v>
      </c>
      <c r="E42" s="5">
        <v>20</v>
      </c>
      <c r="F42" s="41">
        <v>25</v>
      </c>
      <c r="G42" s="41"/>
      <c r="H42" s="61" t="s">
        <v>170</v>
      </c>
      <c r="I42" s="59">
        <v>7.2</v>
      </c>
      <c r="J42" s="61" t="s">
        <v>171</v>
      </c>
      <c r="K42" s="61" t="s">
        <v>171</v>
      </c>
      <c r="L42" s="75">
        <v>7.3</v>
      </c>
      <c r="M42" s="61" t="s">
        <v>172</v>
      </c>
      <c r="O42" s="61">
        <v>25</v>
      </c>
      <c r="P42" s="59">
        <v>35</v>
      </c>
      <c r="Q42" s="61">
        <v>40</v>
      </c>
      <c r="S42" s="61">
        <v>4</v>
      </c>
      <c r="T42" s="59">
        <v>6.5</v>
      </c>
      <c r="U42" s="59">
        <v>5.5</v>
      </c>
      <c r="V42" s="61">
        <v>10</v>
      </c>
      <c r="X42" s="61">
        <v>27</v>
      </c>
      <c r="Y42" s="5">
        <v>29</v>
      </c>
      <c r="Z42" s="5">
        <v>30</v>
      </c>
      <c r="AA42" s="61">
        <v>32</v>
      </c>
      <c r="AC42" t="s">
        <v>176</v>
      </c>
      <c r="AD42" t="s">
        <v>180</v>
      </c>
      <c r="AE42" t="s">
        <v>177</v>
      </c>
      <c r="AG42" s="59">
        <v>21</v>
      </c>
      <c r="AH42" s="5">
        <v>15</v>
      </c>
      <c r="AI42" s="5">
        <v>19</v>
      </c>
      <c r="AJ42" s="5">
        <v>20</v>
      </c>
      <c r="AK42" s="5">
        <v>21</v>
      </c>
      <c r="AL42" s="5">
        <v>21</v>
      </c>
      <c r="AM42" s="155"/>
    </row>
    <row r="43" spans="2:79" x14ac:dyDescent="0.3">
      <c r="B43">
        <f>AVERAGE(E43:E49)</f>
        <v>21.285714285714285</v>
      </c>
      <c r="C43" s="61">
        <v>23</v>
      </c>
      <c r="D43" s="41">
        <v>15</v>
      </c>
      <c r="E43" s="5">
        <v>19</v>
      </c>
      <c r="F43" s="41">
        <v>25</v>
      </c>
      <c r="G43" s="41"/>
      <c r="H43" s="61" t="s">
        <v>170</v>
      </c>
      <c r="I43" s="59">
        <v>7.4</v>
      </c>
      <c r="J43" s="61" t="s">
        <v>171</v>
      </c>
      <c r="K43" s="61" t="s">
        <v>171</v>
      </c>
      <c r="L43" s="75">
        <v>7.3</v>
      </c>
      <c r="M43" s="61" t="s">
        <v>172</v>
      </c>
      <c r="O43" s="61">
        <v>25</v>
      </c>
      <c r="P43" s="59">
        <v>27</v>
      </c>
      <c r="Q43" s="61">
        <v>40</v>
      </c>
      <c r="S43" s="61">
        <v>4</v>
      </c>
      <c r="T43" s="59">
        <v>6.6</v>
      </c>
      <c r="U43" s="59">
        <v>6.1</v>
      </c>
      <c r="V43" s="61">
        <v>10</v>
      </c>
      <c r="X43" s="61">
        <v>27</v>
      </c>
      <c r="Y43" s="5">
        <v>29</v>
      </c>
      <c r="Z43" s="5">
        <v>30</v>
      </c>
      <c r="AA43" s="61">
        <v>32</v>
      </c>
      <c r="AC43" t="s">
        <v>176</v>
      </c>
      <c r="AD43" t="s">
        <v>179</v>
      </c>
      <c r="AE43" t="s">
        <v>177</v>
      </c>
      <c r="AG43" s="59">
        <v>28</v>
      </c>
      <c r="AH43" s="5">
        <v>25</v>
      </c>
      <c r="AI43" s="5">
        <v>17</v>
      </c>
      <c r="AJ43" s="5">
        <v>19</v>
      </c>
      <c r="AK43" s="5">
        <v>15</v>
      </c>
      <c r="AL43" s="5">
        <v>17</v>
      </c>
      <c r="AM43" s="155"/>
    </row>
    <row r="44" spans="2:79" x14ac:dyDescent="0.3">
      <c r="C44" s="61">
        <v>24</v>
      </c>
      <c r="D44" s="41">
        <v>15</v>
      </c>
      <c r="E44" s="5">
        <v>20</v>
      </c>
      <c r="F44" s="41">
        <v>25</v>
      </c>
      <c r="G44" s="41"/>
      <c r="H44" s="61" t="s">
        <v>170</v>
      </c>
      <c r="I44" s="59">
        <v>7.3</v>
      </c>
      <c r="J44" s="61" t="s">
        <v>171</v>
      </c>
      <c r="K44" s="61" t="s">
        <v>171</v>
      </c>
      <c r="L44" s="75">
        <v>7.1</v>
      </c>
      <c r="M44" s="61" t="s">
        <v>172</v>
      </c>
      <c r="O44" s="61">
        <v>25</v>
      </c>
      <c r="P44" s="59">
        <v>40</v>
      </c>
      <c r="Q44" s="61">
        <v>40</v>
      </c>
      <c r="S44" s="61">
        <v>4</v>
      </c>
      <c r="T44" s="59">
        <v>5.8</v>
      </c>
      <c r="U44" s="59">
        <v>6.8</v>
      </c>
      <c r="V44" s="61">
        <v>10</v>
      </c>
      <c r="X44" s="61">
        <v>27</v>
      </c>
      <c r="Y44" s="5">
        <v>26</v>
      </c>
      <c r="Z44" s="5">
        <v>31</v>
      </c>
      <c r="AA44" s="61">
        <v>32</v>
      </c>
      <c r="AC44" t="s">
        <v>176</v>
      </c>
      <c r="AD44" t="s">
        <v>178</v>
      </c>
      <c r="AE44" t="s">
        <v>177</v>
      </c>
      <c r="AG44" s="59">
        <v>35</v>
      </c>
      <c r="AH44" s="5">
        <v>17</v>
      </c>
      <c r="AI44" s="5">
        <v>24</v>
      </c>
      <c r="AJ44" s="5">
        <v>24</v>
      </c>
      <c r="AK44" s="5">
        <v>20</v>
      </c>
      <c r="AL44" s="5">
        <v>19</v>
      </c>
      <c r="AM44" s="155"/>
    </row>
    <row r="45" spans="2:79" x14ac:dyDescent="0.3">
      <c r="C45" s="61">
        <v>25</v>
      </c>
      <c r="D45" s="41">
        <v>15</v>
      </c>
      <c r="E45" s="5">
        <v>25</v>
      </c>
      <c r="F45" s="41">
        <v>25</v>
      </c>
      <c r="G45" s="41"/>
      <c r="H45" s="61" t="s">
        <v>170</v>
      </c>
      <c r="I45" s="59">
        <v>7.3</v>
      </c>
      <c r="J45" s="61" t="s">
        <v>171</v>
      </c>
      <c r="K45" s="61" t="s">
        <v>171</v>
      </c>
      <c r="L45" s="75">
        <v>7.2</v>
      </c>
      <c r="M45" s="61" t="s">
        <v>172</v>
      </c>
      <c r="O45" s="61">
        <v>25</v>
      </c>
      <c r="P45" s="59">
        <v>37</v>
      </c>
      <c r="Q45" s="61">
        <v>40</v>
      </c>
      <c r="S45" s="61">
        <v>4</v>
      </c>
      <c r="T45" s="59">
        <v>6.6</v>
      </c>
      <c r="U45" s="59">
        <v>5.6</v>
      </c>
      <c r="V45" s="61">
        <v>10</v>
      </c>
      <c r="X45" s="61">
        <v>27</v>
      </c>
      <c r="Y45" s="5">
        <v>28</v>
      </c>
      <c r="Z45" s="5">
        <v>30</v>
      </c>
      <c r="AA45" s="61">
        <v>32</v>
      </c>
      <c r="AC45" t="s">
        <v>176</v>
      </c>
      <c r="AD45" t="s">
        <v>182</v>
      </c>
      <c r="AE45" t="s">
        <v>177</v>
      </c>
      <c r="AG45" s="59">
        <v>42</v>
      </c>
      <c r="AH45" s="5">
        <v>23</v>
      </c>
      <c r="AI45" s="5">
        <v>22</v>
      </c>
      <c r="AJ45" s="5">
        <v>20</v>
      </c>
      <c r="AK45" s="5">
        <v>18</v>
      </c>
      <c r="AL45" s="5">
        <v>21</v>
      </c>
      <c r="AM45" s="155"/>
    </row>
    <row r="46" spans="2:79" x14ac:dyDescent="0.3">
      <c r="C46" s="61">
        <v>26</v>
      </c>
      <c r="D46" s="41">
        <v>15</v>
      </c>
      <c r="E46" s="5">
        <v>22</v>
      </c>
      <c r="F46" s="41">
        <v>25</v>
      </c>
      <c r="G46" s="41"/>
      <c r="H46" s="61" t="s">
        <v>170</v>
      </c>
      <c r="I46" s="59">
        <v>7.4</v>
      </c>
      <c r="J46" s="61" t="s">
        <v>171</v>
      </c>
      <c r="K46" s="61" t="s">
        <v>171</v>
      </c>
      <c r="L46" s="75">
        <v>7.3</v>
      </c>
      <c r="M46" s="61" t="s">
        <v>172</v>
      </c>
      <c r="O46" s="61">
        <v>25</v>
      </c>
      <c r="P46" s="59">
        <v>26</v>
      </c>
      <c r="Q46" s="61">
        <v>40</v>
      </c>
      <c r="S46" s="61">
        <v>4</v>
      </c>
      <c r="T46" s="59">
        <v>6.2</v>
      </c>
      <c r="U46" s="59">
        <v>6.1</v>
      </c>
      <c r="V46" s="61">
        <v>10</v>
      </c>
      <c r="X46" s="61">
        <v>27</v>
      </c>
      <c r="Y46" s="5">
        <v>28</v>
      </c>
      <c r="Z46" s="5">
        <v>29</v>
      </c>
      <c r="AA46" s="61">
        <v>32</v>
      </c>
      <c r="AC46" t="s">
        <v>176</v>
      </c>
      <c r="AD46" t="s">
        <v>180</v>
      </c>
      <c r="AE46" t="s">
        <v>177</v>
      </c>
      <c r="AG46" s="59">
        <v>49</v>
      </c>
      <c r="AH46" s="5">
        <v>21</v>
      </c>
      <c r="AI46" s="5">
        <v>24</v>
      </c>
      <c r="AJ46" s="5">
        <v>22</v>
      </c>
      <c r="AK46" s="5">
        <v>21</v>
      </c>
      <c r="AL46" s="5">
        <v>17</v>
      </c>
      <c r="AM46" s="155"/>
    </row>
    <row r="47" spans="2:79" x14ac:dyDescent="0.3">
      <c r="C47" s="61">
        <v>27</v>
      </c>
      <c r="D47" s="41">
        <v>15</v>
      </c>
      <c r="E47" s="5">
        <v>20</v>
      </c>
      <c r="F47" s="41">
        <v>25</v>
      </c>
      <c r="G47" s="41"/>
      <c r="H47" s="61" t="s">
        <v>170</v>
      </c>
      <c r="I47" s="59">
        <v>7.4</v>
      </c>
      <c r="J47" s="61" t="s">
        <v>171</v>
      </c>
      <c r="K47" s="61" t="s">
        <v>171</v>
      </c>
      <c r="L47" s="75">
        <v>7.5</v>
      </c>
      <c r="M47" s="61" t="s">
        <v>172</v>
      </c>
      <c r="O47" s="61">
        <v>25</v>
      </c>
      <c r="P47" s="59">
        <v>29</v>
      </c>
      <c r="Q47" s="61">
        <v>40</v>
      </c>
      <c r="S47" s="61">
        <v>4</v>
      </c>
      <c r="T47" s="59">
        <v>6.1</v>
      </c>
      <c r="U47" s="59">
        <v>7</v>
      </c>
      <c r="V47" s="61">
        <v>10</v>
      </c>
      <c r="X47" s="61">
        <v>27</v>
      </c>
      <c r="Y47" s="5">
        <v>27</v>
      </c>
      <c r="Z47" s="5">
        <v>31</v>
      </c>
      <c r="AA47" s="61">
        <v>32</v>
      </c>
      <c r="AC47" t="s">
        <v>176</v>
      </c>
      <c r="AD47" t="s">
        <v>184</v>
      </c>
      <c r="AE47" t="s">
        <v>177</v>
      </c>
      <c r="AG47" s="59">
        <v>56</v>
      </c>
      <c r="AH47" s="59">
        <v>24</v>
      </c>
      <c r="AI47" s="59">
        <v>16</v>
      </c>
      <c r="AJ47" s="59">
        <v>22</v>
      </c>
      <c r="AK47" s="59">
        <v>20</v>
      </c>
      <c r="AL47" s="59">
        <v>24</v>
      </c>
      <c r="AM47" s="155"/>
    </row>
    <row r="48" spans="2:79" x14ac:dyDescent="0.3">
      <c r="C48" s="61">
        <v>28</v>
      </c>
      <c r="D48" s="41">
        <v>15</v>
      </c>
      <c r="E48" s="5">
        <v>19</v>
      </c>
      <c r="F48" s="41">
        <v>25</v>
      </c>
      <c r="G48" s="41"/>
      <c r="H48" s="61" t="s">
        <v>170</v>
      </c>
      <c r="I48" s="59">
        <v>7.3</v>
      </c>
      <c r="J48" s="61" t="s">
        <v>171</v>
      </c>
      <c r="K48" s="61" t="s">
        <v>171</v>
      </c>
      <c r="L48" s="75">
        <v>7.5</v>
      </c>
      <c r="M48" s="61" t="s">
        <v>172</v>
      </c>
      <c r="O48" s="61">
        <v>25</v>
      </c>
      <c r="P48" s="5">
        <v>25</v>
      </c>
      <c r="Q48" s="61">
        <v>40</v>
      </c>
      <c r="S48" s="61">
        <v>4</v>
      </c>
      <c r="T48" s="59">
        <v>5.5</v>
      </c>
      <c r="U48" s="59">
        <v>5.5</v>
      </c>
      <c r="V48" s="61">
        <v>10</v>
      </c>
      <c r="X48" s="61">
        <v>27</v>
      </c>
      <c r="Y48" s="5">
        <v>28</v>
      </c>
      <c r="Z48" s="5">
        <v>29</v>
      </c>
      <c r="AA48" s="61">
        <v>32</v>
      </c>
      <c r="AC48" t="s">
        <v>176</v>
      </c>
      <c r="AD48" t="s">
        <v>180</v>
      </c>
      <c r="AE48" t="s">
        <v>177</v>
      </c>
      <c r="AG48" s="59">
        <v>63</v>
      </c>
      <c r="AH48" s="59">
        <v>20</v>
      </c>
      <c r="AI48" s="59">
        <v>23</v>
      </c>
      <c r="AJ48" s="59">
        <v>22</v>
      </c>
      <c r="AK48" s="59">
        <v>21</v>
      </c>
      <c r="AL48" s="59">
        <v>20</v>
      </c>
      <c r="AM48" s="155"/>
    </row>
    <row r="49" spans="1:39" x14ac:dyDescent="0.3">
      <c r="C49" s="61">
        <v>29</v>
      </c>
      <c r="D49" s="41">
        <v>15</v>
      </c>
      <c r="E49" s="5">
        <v>24</v>
      </c>
      <c r="F49" s="41">
        <v>25</v>
      </c>
      <c r="G49" s="41"/>
      <c r="H49" s="61" t="s">
        <v>170</v>
      </c>
      <c r="I49" s="59">
        <v>7.2</v>
      </c>
      <c r="J49" s="61" t="s">
        <v>171</v>
      </c>
      <c r="K49" s="61" t="s">
        <v>171</v>
      </c>
      <c r="L49" s="75">
        <v>7.4</v>
      </c>
      <c r="M49" s="61" t="s">
        <v>172</v>
      </c>
      <c r="O49" s="61">
        <v>25</v>
      </c>
      <c r="P49" s="59">
        <v>25</v>
      </c>
      <c r="Q49" s="61">
        <v>40</v>
      </c>
      <c r="S49" s="61">
        <v>4</v>
      </c>
      <c r="T49" s="59">
        <v>6.6</v>
      </c>
      <c r="U49" s="59">
        <v>6.3</v>
      </c>
      <c r="V49" s="61">
        <v>10</v>
      </c>
      <c r="X49" s="61">
        <v>27</v>
      </c>
      <c r="Y49" s="5">
        <v>26</v>
      </c>
      <c r="Z49" s="5">
        <v>31</v>
      </c>
      <c r="AA49" s="61">
        <v>32</v>
      </c>
      <c r="AC49" t="s">
        <v>176</v>
      </c>
      <c r="AD49" t="s">
        <v>179</v>
      </c>
      <c r="AE49" t="s">
        <v>177</v>
      </c>
      <c r="AG49" s="59">
        <v>70</v>
      </c>
      <c r="AH49" s="59">
        <v>24</v>
      </c>
      <c r="AI49" s="59">
        <v>25</v>
      </c>
      <c r="AJ49" s="59">
        <v>23</v>
      </c>
      <c r="AK49" s="59">
        <v>19</v>
      </c>
      <c r="AL49" s="59">
        <v>21</v>
      </c>
      <c r="AM49" s="155"/>
    </row>
    <row r="50" spans="1:39" x14ac:dyDescent="0.3">
      <c r="B50">
        <f>AVERAGE(E50:E54)</f>
        <v>19</v>
      </c>
      <c r="C50" s="61">
        <v>30</v>
      </c>
      <c r="D50" s="41">
        <v>15</v>
      </c>
      <c r="E50" s="5">
        <v>20</v>
      </c>
      <c r="F50" s="41">
        <v>25</v>
      </c>
      <c r="G50" s="41"/>
      <c r="H50" s="61" t="s">
        <v>170</v>
      </c>
      <c r="I50" s="59">
        <v>7.2</v>
      </c>
      <c r="J50" s="61" t="s">
        <v>171</v>
      </c>
      <c r="K50" s="61" t="s">
        <v>171</v>
      </c>
      <c r="L50" s="75">
        <v>7.4</v>
      </c>
      <c r="M50" s="61" t="s">
        <v>172</v>
      </c>
      <c r="O50" s="61">
        <v>25</v>
      </c>
      <c r="P50" s="59">
        <v>33</v>
      </c>
      <c r="Q50" s="61">
        <v>40</v>
      </c>
      <c r="S50" s="61">
        <v>4</v>
      </c>
      <c r="T50" s="59">
        <v>6</v>
      </c>
      <c r="U50" s="59">
        <v>5.9</v>
      </c>
      <c r="V50" s="61">
        <v>10</v>
      </c>
      <c r="X50" s="61">
        <v>27</v>
      </c>
      <c r="Y50" s="5">
        <v>29</v>
      </c>
      <c r="Z50" s="5">
        <v>30</v>
      </c>
      <c r="AA50" s="61">
        <v>32</v>
      </c>
      <c r="AC50" t="s">
        <v>176</v>
      </c>
      <c r="AD50" t="s">
        <v>182</v>
      </c>
      <c r="AE50" t="s">
        <v>177</v>
      </c>
      <c r="AG50" s="59">
        <v>77</v>
      </c>
      <c r="AH50" s="59">
        <v>19</v>
      </c>
      <c r="AI50" s="59">
        <v>25</v>
      </c>
      <c r="AJ50" s="59">
        <v>20</v>
      </c>
      <c r="AK50" s="59">
        <v>19</v>
      </c>
      <c r="AL50" s="59">
        <v>22</v>
      </c>
      <c r="AM50" s="155"/>
    </row>
    <row r="51" spans="1:39" x14ac:dyDescent="0.3">
      <c r="C51" s="61">
        <v>31</v>
      </c>
      <c r="D51" s="41">
        <v>15</v>
      </c>
      <c r="E51" s="5">
        <v>15</v>
      </c>
      <c r="F51" s="41">
        <v>25</v>
      </c>
      <c r="G51" s="41"/>
      <c r="H51" s="61" t="s">
        <v>170</v>
      </c>
      <c r="I51" s="59">
        <v>7.6</v>
      </c>
      <c r="J51" s="61" t="s">
        <v>171</v>
      </c>
      <c r="K51" s="61" t="s">
        <v>171</v>
      </c>
      <c r="L51" s="75">
        <v>7.3</v>
      </c>
      <c r="M51" s="61" t="s">
        <v>172</v>
      </c>
      <c r="O51" s="61">
        <v>25</v>
      </c>
      <c r="P51" s="59">
        <v>30</v>
      </c>
      <c r="Q51" s="61">
        <v>40</v>
      </c>
      <c r="S51" s="61">
        <v>4</v>
      </c>
      <c r="T51" s="59">
        <v>6.1</v>
      </c>
      <c r="U51" s="59">
        <v>6.5</v>
      </c>
      <c r="V51" s="61">
        <v>10</v>
      </c>
      <c r="X51" s="61">
        <v>27</v>
      </c>
      <c r="Y51" s="5">
        <v>29</v>
      </c>
      <c r="Z51" s="5">
        <v>32</v>
      </c>
      <c r="AA51" s="61">
        <v>32</v>
      </c>
      <c r="AC51" t="s">
        <v>176</v>
      </c>
      <c r="AD51" t="s">
        <v>180</v>
      </c>
      <c r="AE51" t="s">
        <v>177</v>
      </c>
      <c r="AG51" s="59">
        <v>84</v>
      </c>
      <c r="AH51" s="59">
        <v>20</v>
      </c>
      <c r="AI51" s="59">
        <v>19</v>
      </c>
      <c r="AJ51" s="59">
        <v>16</v>
      </c>
      <c r="AK51" s="59">
        <v>15</v>
      </c>
      <c r="AL51" s="59">
        <v>23</v>
      </c>
      <c r="AM51" s="155"/>
    </row>
    <row r="52" spans="1:39" x14ac:dyDescent="0.3">
      <c r="C52" s="61">
        <v>32</v>
      </c>
      <c r="D52" s="41">
        <v>15</v>
      </c>
      <c r="E52" s="5">
        <v>21</v>
      </c>
      <c r="F52" s="41">
        <v>25</v>
      </c>
      <c r="G52" s="41"/>
      <c r="H52" s="61" t="s">
        <v>170</v>
      </c>
      <c r="I52" s="59">
        <v>7.2</v>
      </c>
      <c r="J52" s="61" t="s">
        <v>171</v>
      </c>
      <c r="K52" s="61" t="s">
        <v>171</v>
      </c>
      <c r="L52" s="59">
        <v>7.3</v>
      </c>
      <c r="M52" s="61" t="s">
        <v>172</v>
      </c>
      <c r="O52" s="61">
        <v>25</v>
      </c>
      <c r="P52" s="59">
        <v>29</v>
      </c>
      <c r="Q52" s="61">
        <v>40</v>
      </c>
      <c r="S52" s="61">
        <v>4</v>
      </c>
      <c r="T52" s="59">
        <v>6.7</v>
      </c>
      <c r="U52" s="59">
        <v>6.4</v>
      </c>
      <c r="V52" s="61">
        <v>10</v>
      </c>
      <c r="X52" s="61">
        <v>27</v>
      </c>
      <c r="Y52" s="5">
        <v>29</v>
      </c>
      <c r="Z52" s="5">
        <v>30</v>
      </c>
      <c r="AA52" s="61">
        <v>32</v>
      </c>
      <c r="AC52" t="s">
        <v>176</v>
      </c>
      <c r="AD52" t="s">
        <v>178</v>
      </c>
      <c r="AE52" t="s">
        <v>177</v>
      </c>
      <c r="AG52" s="59">
        <v>91</v>
      </c>
      <c r="AH52" s="59">
        <v>19</v>
      </c>
      <c r="AI52" s="59">
        <v>15</v>
      </c>
      <c r="AJ52" s="59">
        <v>16</v>
      </c>
      <c r="AK52" s="59">
        <v>22</v>
      </c>
      <c r="AL52" s="59">
        <v>15</v>
      </c>
      <c r="AM52" s="155"/>
    </row>
    <row r="53" spans="1:39" x14ac:dyDescent="0.3">
      <c r="C53" s="61">
        <v>33</v>
      </c>
      <c r="D53" s="41">
        <v>15</v>
      </c>
      <c r="E53" s="5">
        <v>17</v>
      </c>
      <c r="F53" s="41">
        <v>25</v>
      </c>
      <c r="G53" s="41"/>
      <c r="H53" s="61" t="s">
        <v>170</v>
      </c>
      <c r="I53" s="59">
        <v>7.2</v>
      </c>
      <c r="J53" s="61" t="s">
        <v>171</v>
      </c>
      <c r="K53" s="61" t="s">
        <v>171</v>
      </c>
      <c r="L53" s="59">
        <v>7.5</v>
      </c>
      <c r="M53" s="61" t="s">
        <v>172</v>
      </c>
      <c r="O53" s="61">
        <v>25</v>
      </c>
      <c r="P53" s="59">
        <v>35</v>
      </c>
      <c r="Q53" s="61">
        <v>40</v>
      </c>
      <c r="S53" s="61">
        <v>4</v>
      </c>
      <c r="T53" s="59">
        <v>6.6</v>
      </c>
      <c r="U53" s="59">
        <v>7</v>
      </c>
      <c r="V53" s="61">
        <v>10</v>
      </c>
      <c r="X53" s="61">
        <v>27</v>
      </c>
      <c r="Y53" s="5">
        <v>26</v>
      </c>
      <c r="Z53" s="5">
        <v>30</v>
      </c>
      <c r="AA53" s="61">
        <v>32</v>
      </c>
      <c r="AC53" t="s">
        <v>176</v>
      </c>
      <c r="AD53" t="s">
        <v>181</v>
      </c>
      <c r="AE53" t="s">
        <v>177</v>
      </c>
      <c r="AG53" s="59">
        <v>98</v>
      </c>
      <c r="AH53" s="59">
        <v>16</v>
      </c>
      <c r="AI53" s="59">
        <v>19</v>
      </c>
      <c r="AJ53" s="59">
        <v>24</v>
      </c>
      <c r="AK53" s="59">
        <v>17</v>
      </c>
      <c r="AL53" s="59">
        <v>22</v>
      </c>
      <c r="AM53" s="155"/>
    </row>
    <row r="54" spans="1:39" x14ac:dyDescent="0.3">
      <c r="C54" s="61">
        <v>34</v>
      </c>
      <c r="D54" s="41">
        <v>15</v>
      </c>
      <c r="E54" s="5">
        <v>22</v>
      </c>
      <c r="F54" s="41">
        <v>25</v>
      </c>
      <c r="G54" s="41"/>
      <c r="H54" s="61" t="s">
        <v>170</v>
      </c>
      <c r="I54" s="59">
        <v>7.3</v>
      </c>
      <c r="J54" s="61" t="s">
        <v>171</v>
      </c>
      <c r="K54" s="61" t="s">
        <v>171</v>
      </c>
      <c r="L54" s="59">
        <v>7.4</v>
      </c>
      <c r="M54" s="61" t="s">
        <v>172</v>
      </c>
      <c r="O54" s="61">
        <v>25</v>
      </c>
      <c r="P54" s="59">
        <v>38</v>
      </c>
      <c r="Q54" s="61">
        <v>40</v>
      </c>
      <c r="S54" s="61">
        <v>4</v>
      </c>
      <c r="T54" s="59">
        <v>5.7</v>
      </c>
      <c r="U54" s="59">
        <v>6.3</v>
      </c>
      <c r="V54" s="61">
        <v>10</v>
      </c>
      <c r="X54" s="61">
        <v>27</v>
      </c>
      <c r="Y54" s="5">
        <v>27</v>
      </c>
      <c r="Z54" s="5">
        <v>32</v>
      </c>
      <c r="AA54" s="61">
        <v>32</v>
      </c>
      <c r="AC54" t="s">
        <v>176</v>
      </c>
      <c r="AD54" t="s">
        <v>179</v>
      </c>
      <c r="AE54" t="s">
        <v>177</v>
      </c>
      <c r="AG54" s="59">
        <v>105</v>
      </c>
      <c r="AH54" s="59">
        <v>18</v>
      </c>
      <c r="AI54" s="59">
        <v>19</v>
      </c>
      <c r="AJ54" s="59">
        <v>20</v>
      </c>
      <c r="AK54" s="59">
        <v>23</v>
      </c>
      <c r="AL54" s="59">
        <v>20</v>
      </c>
      <c r="AM54" s="155"/>
    </row>
    <row r="58" spans="1:39" x14ac:dyDescent="0.3">
      <c r="A58" s="5"/>
      <c r="B58" s="132" t="s">
        <v>188</v>
      </c>
      <c r="C58" s="132"/>
      <c r="D58" s="132"/>
      <c r="E58" s="132"/>
      <c r="F58" s="132"/>
      <c r="G58" s="132"/>
      <c r="H58" s="132"/>
      <c r="I58" s="5"/>
      <c r="K58" s="5"/>
      <c r="L58" s="132" t="s">
        <v>188</v>
      </c>
      <c r="M58" s="132"/>
      <c r="N58" s="132"/>
      <c r="O58" s="132"/>
      <c r="P58" s="132"/>
      <c r="Q58" s="132"/>
      <c r="R58" s="132"/>
      <c r="S58" s="5"/>
      <c r="U58" s="5"/>
      <c r="V58" s="132" t="s">
        <v>188</v>
      </c>
      <c r="W58" s="132"/>
      <c r="X58" s="132"/>
      <c r="Y58" s="132"/>
      <c r="Z58" s="132"/>
      <c r="AA58" s="132"/>
      <c r="AB58" s="132"/>
      <c r="AC58" s="5"/>
    </row>
    <row r="59" spans="1:39" x14ac:dyDescent="0.3">
      <c r="A59" s="5"/>
      <c r="B59" s="41">
        <v>1</v>
      </c>
      <c r="C59" s="41">
        <v>2</v>
      </c>
      <c r="D59" s="5">
        <v>3</v>
      </c>
      <c r="E59" s="41">
        <v>4</v>
      </c>
      <c r="F59" s="41">
        <v>5</v>
      </c>
      <c r="G59" s="41">
        <v>6</v>
      </c>
      <c r="H59" s="41">
        <v>7</v>
      </c>
      <c r="I59" s="41">
        <v>8</v>
      </c>
      <c r="J59" s="59"/>
      <c r="K59" s="5"/>
      <c r="L59" s="41">
        <v>1</v>
      </c>
      <c r="M59" s="41">
        <v>2</v>
      </c>
      <c r="N59" s="5">
        <v>3</v>
      </c>
      <c r="O59" s="41">
        <v>4</v>
      </c>
      <c r="P59" s="41">
        <v>5</v>
      </c>
      <c r="Q59" s="41">
        <v>6</v>
      </c>
      <c r="R59" s="41">
        <v>7</v>
      </c>
      <c r="S59" s="41">
        <v>8</v>
      </c>
      <c r="T59" s="59"/>
      <c r="U59" s="5"/>
      <c r="V59" s="41">
        <v>1</v>
      </c>
      <c r="W59" s="41">
        <v>2</v>
      </c>
      <c r="X59" s="5">
        <v>3</v>
      </c>
      <c r="Y59" s="41">
        <v>4</v>
      </c>
      <c r="Z59" s="41">
        <v>5</v>
      </c>
      <c r="AA59" s="41">
        <v>6</v>
      </c>
      <c r="AB59" s="41">
        <v>7</v>
      </c>
      <c r="AC59" s="41">
        <v>8</v>
      </c>
      <c r="AE59" s="5"/>
      <c r="AF59" s="132" t="s">
        <v>188</v>
      </c>
      <c r="AG59" s="132"/>
      <c r="AH59" s="132"/>
      <c r="AI59" s="132"/>
      <c r="AJ59" s="132"/>
      <c r="AK59" s="132"/>
      <c r="AL59" s="132"/>
      <c r="AM59" s="5"/>
    </row>
    <row r="60" spans="1:39" x14ac:dyDescent="0.3">
      <c r="A60" s="5" t="s">
        <v>119</v>
      </c>
      <c r="B60" s="76">
        <v>30</v>
      </c>
      <c r="C60" s="65">
        <v>34</v>
      </c>
      <c r="D60" s="65">
        <v>37</v>
      </c>
      <c r="E60" s="65">
        <v>31</v>
      </c>
      <c r="F60" s="65">
        <v>29</v>
      </c>
      <c r="G60" s="65">
        <v>27</v>
      </c>
      <c r="H60" s="65">
        <v>26</v>
      </c>
      <c r="I60" s="65">
        <v>27</v>
      </c>
      <c r="J60" s="64"/>
      <c r="K60" s="5" t="s">
        <v>119</v>
      </c>
      <c r="L60" s="76">
        <v>27</v>
      </c>
      <c r="M60" s="36">
        <v>28</v>
      </c>
      <c r="N60" s="36">
        <v>26</v>
      </c>
      <c r="O60" s="36">
        <v>29</v>
      </c>
      <c r="P60" s="36">
        <v>26</v>
      </c>
      <c r="Q60" s="76">
        <v>26.9</v>
      </c>
      <c r="R60" s="36">
        <v>26.8</v>
      </c>
      <c r="S60" s="36">
        <v>26.7</v>
      </c>
      <c r="T60" s="5"/>
      <c r="U60" s="5" t="s">
        <v>119</v>
      </c>
      <c r="V60" s="36">
        <v>32</v>
      </c>
      <c r="W60" s="36">
        <v>31</v>
      </c>
      <c r="X60" s="36">
        <v>31</v>
      </c>
      <c r="Y60" s="36">
        <v>32</v>
      </c>
      <c r="Z60" s="36">
        <v>31</v>
      </c>
      <c r="AA60" s="36">
        <v>31.1</v>
      </c>
      <c r="AB60" s="36">
        <v>31</v>
      </c>
      <c r="AC60" s="36">
        <v>30.9</v>
      </c>
      <c r="AE60" s="5"/>
      <c r="AF60" s="41">
        <v>1</v>
      </c>
      <c r="AG60" s="41">
        <v>2</v>
      </c>
      <c r="AH60" s="5">
        <v>3</v>
      </c>
      <c r="AI60" s="41">
        <v>4</v>
      </c>
      <c r="AJ60" s="41">
        <v>5</v>
      </c>
      <c r="AK60" s="41">
        <v>6</v>
      </c>
      <c r="AL60" s="41">
        <v>7</v>
      </c>
      <c r="AM60" s="41">
        <v>8</v>
      </c>
    </row>
    <row r="61" spans="1:39" x14ac:dyDescent="0.3">
      <c r="A61" s="5" t="s">
        <v>120</v>
      </c>
      <c r="B61" s="76">
        <v>34</v>
      </c>
      <c r="C61" s="36">
        <v>32</v>
      </c>
      <c r="D61" s="36">
        <v>31</v>
      </c>
      <c r="E61" s="36">
        <v>29</v>
      </c>
      <c r="F61" s="36">
        <v>31</v>
      </c>
      <c r="G61" s="36">
        <v>29</v>
      </c>
      <c r="H61" s="36">
        <v>27</v>
      </c>
      <c r="I61" s="36">
        <v>26</v>
      </c>
      <c r="J61" s="48"/>
      <c r="K61" s="5" t="s">
        <v>120</v>
      </c>
      <c r="L61" s="36">
        <v>29</v>
      </c>
      <c r="M61" s="36">
        <v>27</v>
      </c>
      <c r="N61" s="36">
        <v>29</v>
      </c>
      <c r="O61" s="36">
        <v>26</v>
      </c>
      <c r="P61" s="36">
        <v>28</v>
      </c>
      <c r="Q61" s="36">
        <v>26.9</v>
      </c>
      <c r="R61" s="36">
        <v>26.6</v>
      </c>
      <c r="S61" s="36">
        <v>26.3</v>
      </c>
      <c r="T61" s="5"/>
      <c r="U61" s="5" t="s">
        <v>120</v>
      </c>
      <c r="V61" s="36">
        <v>32</v>
      </c>
      <c r="W61" s="36">
        <v>29</v>
      </c>
      <c r="X61" s="36">
        <v>31</v>
      </c>
      <c r="Y61" s="36">
        <v>29</v>
      </c>
      <c r="Z61" s="36">
        <v>30</v>
      </c>
      <c r="AA61" s="36">
        <v>29</v>
      </c>
      <c r="AB61" s="36">
        <v>28.6</v>
      </c>
      <c r="AC61" s="36">
        <v>28.2</v>
      </c>
      <c r="AE61" s="5" t="s">
        <v>119</v>
      </c>
      <c r="AF61" s="66">
        <v>7.4</v>
      </c>
      <c r="AG61" s="66">
        <v>7.4</v>
      </c>
      <c r="AH61" s="66">
        <v>7.4</v>
      </c>
      <c r="AI61" s="66">
        <v>7.4</v>
      </c>
      <c r="AJ61" s="66">
        <v>7.4</v>
      </c>
      <c r="AK61" s="66">
        <v>7.2</v>
      </c>
      <c r="AL61" s="66">
        <v>7.3</v>
      </c>
      <c r="AM61" s="66">
        <v>7.3</v>
      </c>
    </row>
    <row r="62" spans="1:39" x14ac:dyDescent="0.3">
      <c r="A62" s="5" t="s">
        <v>121</v>
      </c>
      <c r="B62" s="76">
        <v>38</v>
      </c>
      <c r="C62" s="65">
        <v>30</v>
      </c>
      <c r="D62" s="65">
        <v>25</v>
      </c>
      <c r="E62" s="65">
        <v>27</v>
      </c>
      <c r="F62" s="65">
        <v>33</v>
      </c>
      <c r="G62" s="65">
        <v>31</v>
      </c>
      <c r="H62" s="65">
        <v>28</v>
      </c>
      <c r="I62" s="65">
        <v>25</v>
      </c>
      <c r="J62" s="48"/>
      <c r="K62" s="5" t="s">
        <v>121</v>
      </c>
      <c r="L62" s="36">
        <v>27</v>
      </c>
      <c r="M62" s="36">
        <v>28</v>
      </c>
      <c r="N62" s="36">
        <v>27</v>
      </c>
      <c r="O62" s="36">
        <v>26</v>
      </c>
      <c r="P62" s="36">
        <v>28</v>
      </c>
      <c r="Q62" s="36">
        <v>27.2</v>
      </c>
      <c r="R62" s="36">
        <v>27.2</v>
      </c>
      <c r="S62" s="36">
        <v>27.2</v>
      </c>
      <c r="T62" s="5"/>
      <c r="U62" s="5" t="s">
        <v>121</v>
      </c>
      <c r="V62" s="36">
        <v>32</v>
      </c>
      <c r="W62" s="36">
        <v>29</v>
      </c>
      <c r="X62" s="36">
        <v>31</v>
      </c>
      <c r="Y62" s="36">
        <v>30</v>
      </c>
      <c r="Z62" s="36">
        <v>29</v>
      </c>
      <c r="AA62" s="36">
        <v>28.7</v>
      </c>
      <c r="AB62" s="36">
        <v>28.2</v>
      </c>
      <c r="AC62" s="36">
        <v>27.7</v>
      </c>
      <c r="AE62" s="5" t="s">
        <v>120</v>
      </c>
      <c r="AF62" s="48">
        <v>7.4</v>
      </c>
      <c r="AG62" s="48">
        <v>7.4</v>
      </c>
      <c r="AH62" s="48">
        <v>7.4</v>
      </c>
      <c r="AI62" s="48">
        <v>7.4</v>
      </c>
      <c r="AJ62" s="48">
        <v>7.2</v>
      </c>
      <c r="AK62" s="48">
        <v>7.3</v>
      </c>
      <c r="AL62" s="48">
        <v>7.4</v>
      </c>
      <c r="AM62" s="48">
        <v>7.4</v>
      </c>
    </row>
    <row r="63" spans="1:39" x14ac:dyDescent="0.3">
      <c r="A63" s="5" t="s">
        <v>122</v>
      </c>
      <c r="B63" s="76">
        <v>32</v>
      </c>
      <c r="C63" s="36">
        <v>28</v>
      </c>
      <c r="D63" s="36">
        <v>29</v>
      </c>
      <c r="E63" s="36">
        <v>25</v>
      </c>
      <c r="F63" s="36">
        <v>35</v>
      </c>
      <c r="G63" s="36">
        <v>33</v>
      </c>
      <c r="H63" s="36">
        <v>29</v>
      </c>
      <c r="I63" s="36">
        <v>24</v>
      </c>
      <c r="J63" s="48"/>
      <c r="K63" s="5" t="s">
        <v>122</v>
      </c>
      <c r="L63" s="36">
        <v>28</v>
      </c>
      <c r="M63" s="36">
        <v>27</v>
      </c>
      <c r="N63" s="36">
        <v>28</v>
      </c>
      <c r="O63" s="36">
        <v>29</v>
      </c>
      <c r="P63" s="36">
        <v>27</v>
      </c>
      <c r="Q63" s="36">
        <v>27.8</v>
      </c>
      <c r="R63" s="36">
        <v>27.8</v>
      </c>
      <c r="S63" s="36">
        <v>27.8</v>
      </c>
      <c r="T63" s="5"/>
      <c r="U63" s="5" t="s">
        <v>122</v>
      </c>
      <c r="V63" s="36">
        <v>29</v>
      </c>
      <c r="W63" s="36">
        <v>32</v>
      </c>
      <c r="X63" s="36">
        <v>32</v>
      </c>
      <c r="Y63" s="36">
        <v>30</v>
      </c>
      <c r="Z63" s="36">
        <v>31</v>
      </c>
      <c r="AA63" s="36">
        <v>31.4</v>
      </c>
      <c r="AB63" s="36">
        <v>31.6</v>
      </c>
      <c r="AC63" s="36">
        <v>31.8</v>
      </c>
      <c r="AE63" s="5" t="s">
        <v>121</v>
      </c>
      <c r="AF63" s="66">
        <v>7.4</v>
      </c>
      <c r="AG63" s="66">
        <v>7.4</v>
      </c>
      <c r="AH63" s="66">
        <v>7.3</v>
      </c>
      <c r="AI63" s="66">
        <v>7.4</v>
      </c>
      <c r="AJ63" s="66">
        <v>7.4</v>
      </c>
      <c r="AK63" s="66">
        <v>7.3</v>
      </c>
      <c r="AL63" s="66">
        <v>7.3</v>
      </c>
      <c r="AM63" s="66">
        <v>7.3</v>
      </c>
    </row>
    <row r="64" spans="1:39" x14ac:dyDescent="0.3">
      <c r="A64" s="5" t="s">
        <v>123</v>
      </c>
      <c r="B64" s="76">
        <v>36</v>
      </c>
      <c r="C64" s="65">
        <v>32</v>
      </c>
      <c r="D64" s="65">
        <v>33</v>
      </c>
      <c r="E64" s="65">
        <v>28</v>
      </c>
      <c r="F64" s="65">
        <v>27</v>
      </c>
      <c r="G64" s="65">
        <v>25</v>
      </c>
      <c r="H64" s="65">
        <v>30</v>
      </c>
      <c r="I64" s="65">
        <v>27</v>
      </c>
      <c r="J64" s="48"/>
      <c r="K64" s="5" t="s">
        <v>123</v>
      </c>
      <c r="L64" s="36">
        <v>27</v>
      </c>
      <c r="M64" s="36">
        <v>29</v>
      </c>
      <c r="N64" s="36">
        <v>26</v>
      </c>
      <c r="O64" s="36">
        <v>28</v>
      </c>
      <c r="P64" s="36">
        <v>28</v>
      </c>
      <c r="Q64" s="36">
        <v>27.9</v>
      </c>
      <c r="R64" s="36">
        <v>28</v>
      </c>
      <c r="S64" s="36">
        <v>28.1</v>
      </c>
      <c r="T64" s="5"/>
      <c r="U64" s="5" t="s">
        <v>123</v>
      </c>
      <c r="V64" s="36">
        <v>29</v>
      </c>
      <c r="W64" s="36">
        <v>30</v>
      </c>
      <c r="X64" s="36">
        <v>32</v>
      </c>
      <c r="Y64" s="36">
        <v>31</v>
      </c>
      <c r="Z64" s="36">
        <v>29</v>
      </c>
      <c r="AA64" s="36">
        <v>30.5</v>
      </c>
      <c r="AB64" s="36">
        <v>30.6</v>
      </c>
      <c r="AC64" s="36">
        <v>30.7</v>
      </c>
      <c r="AE64" s="5" t="s">
        <v>122</v>
      </c>
      <c r="AF64" s="48">
        <v>7.3</v>
      </c>
      <c r="AG64" s="48">
        <v>7.4</v>
      </c>
      <c r="AH64" s="48">
        <v>7.4</v>
      </c>
      <c r="AI64" s="48">
        <v>7.4</v>
      </c>
      <c r="AJ64" s="48">
        <v>7.3</v>
      </c>
      <c r="AK64" s="48">
        <v>7.3</v>
      </c>
      <c r="AL64" s="48">
        <v>7.4</v>
      </c>
      <c r="AM64" s="48">
        <v>7.4</v>
      </c>
    </row>
    <row r="65" spans="1:41" x14ac:dyDescent="0.3">
      <c r="A65" s="5" t="s">
        <v>50</v>
      </c>
      <c r="B65" s="76">
        <v>30</v>
      </c>
      <c r="C65" s="36">
        <v>33</v>
      </c>
      <c r="D65" s="36">
        <v>37</v>
      </c>
      <c r="E65" s="36">
        <v>31</v>
      </c>
      <c r="F65" s="36">
        <v>29</v>
      </c>
      <c r="G65" s="36">
        <v>28</v>
      </c>
      <c r="H65" s="36">
        <v>30</v>
      </c>
      <c r="I65" s="36">
        <v>32</v>
      </c>
      <c r="J65" s="48"/>
      <c r="K65" s="5" t="s">
        <v>50</v>
      </c>
      <c r="L65" s="36">
        <v>27</v>
      </c>
      <c r="M65" s="36">
        <v>26</v>
      </c>
      <c r="N65" s="36">
        <v>29</v>
      </c>
      <c r="O65" s="36">
        <v>27</v>
      </c>
      <c r="P65" s="36">
        <v>26</v>
      </c>
      <c r="Q65" s="36">
        <v>26.7</v>
      </c>
      <c r="R65" s="36">
        <v>26.6</v>
      </c>
      <c r="S65" s="36">
        <v>26.5</v>
      </c>
      <c r="T65" s="5"/>
      <c r="U65" s="5" t="s">
        <v>50</v>
      </c>
      <c r="V65" s="36">
        <v>31</v>
      </c>
      <c r="W65" s="36">
        <v>29</v>
      </c>
      <c r="X65" s="36">
        <v>29</v>
      </c>
      <c r="Y65" s="36">
        <v>31</v>
      </c>
      <c r="Z65" s="36">
        <v>31</v>
      </c>
      <c r="AA65" s="36">
        <v>30.8</v>
      </c>
      <c r="AB65" s="36">
        <v>31</v>
      </c>
      <c r="AC65" s="36">
        <v>31.2</v>
      </c>
      <c r="AE65" s="5" t="s">
        <v>123</v>
      </c>
      <c r="AF65" s="48">
        <v>7.4</v>
      </c>
      <c r="AG65" s="66">
        <v>7.3</v>
      </c>
      <c r="AH65" s="66">
        <v>7.3</v>
      </c>
      <c r="AI65" s="66">
        <v>7.4</v>
      </c>
      <c r="AJ65" s="66">
        <v>7.3</v>
      </c>
      <c r="AK65" s="66">
        <v>7.3</v>
      </c>
      <c r="AL65" s="66">
        <v>7.3</v>
      </c>
      <c r="AM65" s="66">
        <v>7.3</v>
      </c>
    </row>
    <row r="66" spans="1:41" x14ac:dyDescent="0.3">
      <c r="A66" s="5" t="s">
        <v>49</v>
      </c>
      <c r="B66" s="76">
        <v>34</v>
      </c>
      <c r="C66" s="65">
        <v>32</v>
      </c>
      <c r="D66" s="65">
        <v>31</v>
      </c>
      <c r="E66" s="65">
        <v>29</v>
      </c>
      <c r="F66" s="65">
        <v>31</v>
      </c>
      <c r="G66" s="65">
        <v>29</v>
      </c>
      <c r="H66" s="65">
        <v>32</v>
      </c>
      <c r="I66" s="65">
        <v>31</v>
      </c>
      <c r="J66" s="48"/>
      <c r="K66" s="5" t="s">
        <v>49</v>
      </c>
      <c r="L66" s="36">
        <v>29</v>
      </c>
      <c r="M66" s="36">
        <v>29</v>
      </c>
      <c r="N66" s="36">
        <v>29</v>
      </c>
      <c r="O66" s="36">
        <v>26</v>
      </c>
      <c r="P66" s="36">
        <v>29</v>
      </c>
      <c r="Q66" s="36">
        <v>27.5</v>
      </c>
      <c r="R66" s="36">
        <v>27.2</v>
      </c>
      <c r="S66" s="36">
        <v>26.9</v>
      </c>
      <c r="T66" s="5"/>
      <c r="U66" s="5" t="s">
        <v>49</v>
      </c>
      <c r="V66" s="36">
        <v>30</v>
      </c>
      <c r="W66" s="36">
        <v>32</v>
      </c>
      <c r="X66" s="36">
        <v>31</v>
      </c>
      <c r="Y66" s="36">
        <v>31</v>
      </c>
      <c r="Z66" s="36">
        <v>30</v>
      </c>
      <c r="AA66" s="36">
        <v>30.5</v>
      </c>
      <c r="AB66" s="36">
        <v>30.4</v>
      </c>
      <c r="AC66" s="36">
        <v>30.3</v>
      </c>
      <c r="AE66" s="5" t="s">
        <v>50</v>
      </c>
      <c r="AF66" s="48">
        <v>7.3</v>
      </c>
      <c r="AG66" s="48">
        <v>7.3</v>
      </c>
      <c r="AH66" s="48">
        <v>7.4</v>
      </c>
      <c r="AI66" s="48">
        <v>7.3</v>
      </c>
      <c r="AJ66" s="48">
        <v>7.2</v>
      </c>
      <c r="AK66" s="48">
        <v>7.4</v>
      </c>
      <c r="AL66" s="48">
        <v>7.4</v>
      </c>
      <c r="AM66" s="48">
        <v>7.4</v>
      </c>
    </row>
    <row r="67" spans="1:41" x14ac:dyDescent="0.3">
      <c r="A67" s="5" t="s">
        <v>48</v>
      </c>
      <c r="B67" s="76">
        <v>38</v>
      </c>
      <c r="C67" s="36">
        <v>29</v>
      </c>
      <c r="D67" s="36">
        <v>35</v>
      </c>
      <c r="E67" s="36">
        <v>27</v>
      </c>
      <c r="F67" s="36">
        <v>28</v>
      </c>
      <c r="G67" s="36">
        <v>32</v>
      </c>
      <c r="H67" s="36">
        <v>33</v>
      </c>
      <c r="I67" s="36">
        <v>30</v>
      </c>
      <c r="J67" s="63"/>
      <c r="K67" s="5" t="s">
        <v>48</v>
      </c>
      <c r="L67" s="36">
        <v>28</v>
      </c>
      <c r="M67" s="36">
        <v>28</v>
      </c>
      <c r="N67" s="36">
        <v>28</v>
      </c>
      <c r="O67" s="36">
        <v>27</v>
      </c>
      <c r="P67" s="36">
        <v>29</v>
      </c>
      <c r="Q67" s="36">
        <v>28.3</v>
      </c>
      <c r="R67" s="36">
        <v>28.4</v>
      </c>
      <c r="S67" s="36">
        <v>28.5</v>
      </c>
      <c r="T67" s="59"/>
      <c r="U67" s="5" t="s">
        <v>48</v>
      </c>
      <c r="V67" s="36">
        <v>29</v>
      </c>
      <c r="W67" s="36">
        <v>29</v>
      </c>
      <c r="X67" s="36">
        <v>30</v>
      </c>
      <c r="Y67" s="36">
        <v>30</v>
      </c>
      <c r="Z67" s="36">
        <v>32</v>
      </c>
      <c r="AA67" s="36">
        <v>32.1</v>
      </c>
      <c r="AB67" s="36">
        <v>32.799999999999997</v>
      </c>
      <c r="AC67" s="36">
        <v>33.5</v>
      </c>
      <c r="AE67" s="5" t="s">
        <v>49</v>
      </c>
      <c r="AF67" s="66">
        <v>7.6</v>
      </c>
      <c r="AG67" s="66">
        <v>7.4</v>
      </c>
      <c r="AH67" s="66">
        <v>7.4</v>
      </c>
      <c r="AI67" s="66">
        <v>7.5</v>
      </c>
      <c r="AJ67" s="66">
        <v>7.5</v>
      </c>
      <c r="AK67" s="66">
        <v>7.5</v>
      </c>
      <c r="AL67" s="66">
        <v>7.5</v>
      </c>
      <c r="AM67" s="66">
        <v>7.3</v>
      </c>
    </row>
    <row r="68" spans="1:41" x14ac:dyDescent="0.3">
      <c r="A68" s="5" t="s">
        <v>47</v>
      </c>
      <c r="B68" s="76">
        <v>32</v>
      </c>
      <c r="C68" s="65">
        <v>38</v>
      </c>
      <c r="D68" s="65">
        <v>31</v>
      </c>
      <c r="E68" s="65">
        <v>35</v>
      </c>
      <c r="F68" s="65">
        <v>35</v>
      </c>
      <c r="G68" s="65">
        <v>33</v>
      </c>
      <c r="H68" s="65">
        <v>34</v>
      </c>
      <c r="I68" s="65">
        <v>29</v>
      </c>
      <c r="J68" s="63"/>
      <c r="K68" s="5" t="s">
        <v>47</v>
      </c>
      <c r="L68" s="36">
        <v>26</v>
      </c>
      <c r="M68" s="36">
        <v>26</v>
      </c>
      <c r="N68" s="36">
        <v>26</v>
      </c>
      <c r="O68" s="36">
        <v>29</v>
      </c>
      <c r="P68" s="36">
        <v>29</v>
      </c>
      <c r="Q68" s="36">
        <v>29.9</v>
      </c>
      <c r="R68" s="36">
        <v>30.8</v>
      </c>
      <c r="S68" s="36">
        <v>31.7</v>
      </c>
      <c r="T68" s="59"/>
      <c r="U68" s="5" t="s">
        <v>47</v>
      </c>
      <c r="V68" s="36">
        <v>30</v>
      </c>
      <c r="W68" s="36">
        <v>31</v>
      </c>
      <c r="X68" s="36">
        <v>32</v>
      </c>
      <c r="Y68" s="36">
        <v>30</v>
      </c>
      <c r="Z68" s="36">
        <v>30</v>
      </c>
      <c r="AA68" s="36">
        <v>30.3</v>
      </c>
      <c r="AB68" s="36">
        <v>30.2</v>
      </c>
      <c r="AC68" s="36">
        <v>30.1</v>
      </c>
      <c r="AE68" s="5" t="s">
        <v>48</v>
      </c>
      <c r="AF68" s="48">
        <v>7.4</v>
      </c>
      <c r="AG68" s="48">
        <v>7.4</v>
      </c>
      <c r="AH68" s="48">
        <v>7.4</v>
      </c>
      <c r="AI68" s="48">
        <v>7.3</v>
      </c>
      <c r="AJ68" s="48">
        <v>7.3</v>
      </c>
      <c r="AK68" s="48">
        <v>7.5</v>
      </c>
      <c r="AL68" s="48">
        <v>7.3</v>
      </c>
      <c r="AM68" s="48">
        <v>7.5</v>
      </c>
    </row>
    <row r="69" spans="1:41" x14ac:dyDescent="0.3">
      <c r="A69" s="5" t="s">
        <v>46</v>
      </c>
      <c r="B69" s="76">
        <v>36</v>
      </c>
      <c r="C69" s="36">
        <v>36</v>
      </c>
      <c r="D69" s="36">
        <v>28</v>
      </c>
      <c r="E69" s="36">
        <v>33</v>
      </c>
      <c r="F69" s="36">
        <v>27</v>
      </c>
      <c r="G69" s="36">
        <v>28</v>
      </c>
      <c r="H69" s="36">
        <v>31</v>
      </c>
      <c r="I69" s="36">
        <v>28</v>
      </c>
      <c r="J69" s="63"/>
      <c r="K69" s="5" t="s">
        <v>46</v>
      </c>
      <c r="L69" s="36">
        <v>27</v>
      </c>
      <c r="M69" s="36">
        <v>27</v>
      </c>
      <c r="N69" s="36">
        <v>26</v>
      </c>
      <c r="O69" s="36">
        <v>29</v>
      </c>
      <c r="P69" s="36">
        <v>26</v>
      </c>
      <c r="Q69" s="36">
        <v>27</v>
      </c>
      <c r="R69" s="36">
        <v>27</v>
      </c>
      <c r="S69" s="36">
        <v>27</v>
      </c>
      <c r="T69" s="59"/>
      <c r="U69" s="5" t="s">
        <v>46</v>
      </c>
      <c r="V69" s="36">
        <v>31</v>
      </c>
      <c r="W69" s="36">
        <v>31</v>
      </c>
      <c r="X69" s="36">
        <v>31</v>
      </c>
      <c r="Y69" s="36">
        <v>30</v>
      </c>
      <c r="Z69" s="36">
        <v>30</v>
      </c>
      <c r="AA69" s="36">
        <v>29.7</v>
      </c>
      <c r="AB69" s="36">
        <v>29.4</v>
      </c>
      <c r="AC69" s="36">
        <v>29.1</v>
      </c>
      <c r="AE69" s="5" t="s">
        <v>47</v>
      </c>
      <c r="AF69" s="66">
        <v>7.4</v>
      </c>
      <c r="AG69" s="66">
        <v>7.6</v>
      </c>
      <c r="AH69" s="66">
        <v>7.4</v>
      </c>
      <c r="AI69" s="66">
        <v>7.2</v>
      </c>
      <c r="AJ69" s="66">
        <v>7.3</v>
      </c>
      <c r="AK69" s="66">
        <v>7.3</v>
      </c>
      <c r="AL69" s="66">
        <v>7.3</v>
      </c>
      <c r="AM69" s="66">
        <v>7.4</v>
      </c>
    </row>
    <row r="70" spans="1:41" x14ac:dyDescent="0.3">
      <c r="A70" s="61"/>
      <c r="B70" s="59"/>
      <c r="C70" s="59"/>
      <c r="D70" s="63"/>
      <c r="E70" s="63"/>
      <c r="F70" s="63"/>
      <c r="G70" s="63"/>
      <c r="H70" s="61"/>
      <c r="I70" s="59"/>
      <c r="J70" s="63"/>
      <c r="K70" s="63"/>
      <c r="L70" s="63"/>
      <c r="M70" s="63"/>
      <c r="N70" s="63"/>
      <c r="P70" s="59"/>
      <c r="Q70" s="59"/>
      <c r="R70" s="59"/>
      <c r="S70" s="59"/>
      <c r="T70" s="59"/>
      <c r="U70" s="59"/>
      <c r="W70" s="59"/>
      <c r="X70" s="59"/>
      <c r="Y70" s="59"/>
      <c r="Z70" s="59"/>
      <c r="AA70" s="59"/>
      <c r="AB70" s="59"/>
      <c r="AE70" s="5" t="s">
        <v>46</v>
      </c>
      <c r="AF70" s="48">
        <v>7.4</v>
      </c>
      <c r="AG70" s="48">
        <v>7.3</v>
      </c>
      <c r="AH70" s="48">
        <v>7.2</v>
      </c>
      <c r="AI70" s="48">
        <v>7.2</v>
      </c>
      <c r="AJ70" s="48">
        <v>7.4</v>
      </c>
      <c r="AK70" s="48">
        <v>7.4</v>
      </c>
      <c r="AL70" s="48">
        <v>7.4</v>
      </c>
      <c r="AM70" s="48">
        <v>7.6</v>
      </c>
    </row>
    <row r="71" spans="1:41" x14ac:dyDescent="0.3">
      <c r="A71" s="61"/>
      <c r="B71" s="59"/>
      <c r="C71" s="59"/>
      <c r="D71" s="63"/>
      <c r="E71" s="63"/>
      <c r="F71" s="63"/>
      <c r="G71" s="63"/>
      <c r="H71" s="61"/>
      <c r="I71" s="59"/>
      <c r="J71" s="63"/>
      <c r="K71" s="63"/>
      <c r="L71" s="63"/>
      <c r="M71" s="63"/>
      <c r="N71" s="63"/>
      <c r="P71" s="59"/>
      <c r="Q71" s="59"/>
      <c r="R71" s="59"/>
      <c r="S71" s="59"/>
      <c r="T71" s="59"/>
      <c r="U71" s="59"/>
      <c r="W71" s="59"/>
      <c r="X71" s="59"/>
      <c r="Y71" s="59"/>
      <c r="Z71" s="59"/>
      <c r="AA71" s="59"/>
      <c r="AB71" s="59"/>
    </row>
    <row r="72" spans="1:41" x14ac:dyDescent="0.3">
      <c r="A72" s="61"/>
      <c r="B72" s="59"/>
      <c r="C72" s="59"/>
      <c r="D72" s="63"/>
      <c r="E72" s="63"/>
      <c r="F72" s="63"/>
      <c r="G72" s="63"/>
      <c r="H72" s="61"/>
      <c r="I72" s="59"/>
      <c r="J72" s="63"/>
      <c r="K72" s="63"/>
      <c r="L72" s="63"/>
      <c r="M72" s="63"/>
      <c r="N72" s="63"/>
      <c r="P72" s="59"/>
      <c r="Q72" s="59"/>
      <c r="R72" s="59"/>
      <c r="S72" s="59"/>
      <c r="T72" s="59"/>
      <c r="U72" s="59"/>
      <c r="W72" s="59"/>
      <c r="X72" s="59"/>
      <c r="Y72" s="59"/>
      <c r="Z72" s="59"/>
      <c r="AA72" s="59"/>
      <c r="AB72" s="59"/>
      <c r="AF72" s="132" t="s">
        <v>188</v>
      </c>
      <c r="AG72" s="132"/>
      <c r="AH72" s="132"/>
      <c r="AI72" s="132"/>
      <c r="AJ72" s="132"/>
      <c r="AK72" s="132"/>
      <c r="AL72" s="132"/>
    </row>
    <row r="73" spans="1:41" x14ac:dyDescent="0.3">
      <c r="A73" s="61"/>
      <c r="B73" s="59"/>
      <c r="C73" s="59"/>
      <c r="D73" s="48"/>
      <c r="E73" s="63"/>
      <c r="F73" s="63"/>
      <c r="G73" s="63"/>
      <c r="H73" s="61"/>
      <c r="I73" s="59"/>
      <c r="J73" s="63"/>
      <c r="K73" s="63"/>
      <c r="L73" s="63"/>
      <c r="M73" s="63"/>
      <c r="N73" s="63"/>
      <c r="P73" s="59"/>
      <c r="Q73" s="59"/>
      <c r="R73" s="59"/>
      <c r="S73" s="59"/>
      <c r="T73" s="59"/>
      <c r="U73" s="59"/>
      <c r="W73" s="59"/>
      <c r="X73" s="59"/>
      <c r="Y73" s="59"/>
      <c r="Z73" s="59"/>
      <c r="AA73" s="59"/>
      <c r="AB73" s="59"/>
      <c r="AF73" s="41" t="s">
        <v>119</v>
      </c>
      <c r="AG73" s="41" t="s">
        <v>120</v>
      </c>
      <c r="AH73" s="5" t="s">
        <v>121</v>
      </c>
      <c r="AI73" s="41" t="s">
        <v>122</v>
      </c>
      <c r="AJ73" s="41" t="s">
        <v>123</v>
      </c>
      <c r="AK73" s="41" t="s">
        <v>50</v>
      </c>
      <c r="AL73" s="41" t="s">
        <v>49</v>
      </c>
      <c r="AM73" s="41" t="s">
        <v>48</v>
      </c>
      <c r="AN73" s="41" t="s">
        <v>47</v>
      </c>
      <c r="AO73" s="41" t="s">
        <v>46</v>
      </c>
    </row>
    <row r="74" spans="1:41" x14ac:dyDescent="0.3">
      <c r="A74" s="61"/>
      <c r="B74" s="59"/>
      <c r="C74" s="59"/>
      <c r="D74" s="48"/>
      <c r="E74" s="63"/>
      <c r="F74" s="63"/>
      <c r="G74" s="63"/>
      <c r="H74" s="61"/>
      <c r="I74" s="59"/>
      <c r="J74" s="63"/>
      <c r="K74" s="63"/>
      <c r="L74" s="63"/>
      <c r="M74" s="63"/>
      <c r="N74" s="63"/>
      <c r="P74" s="59"/>
      <c r="Q74" s="59"/>
      <c r="R74" s="59"/>
      <c r="S74" s="59"/>
      <c r="T74" s="59"/>
      <c r="U74" s="59"/>
      <c r="W74" s="59"/>
      <c r="X74" s="59"/>
      <c r="Y74" s="59"/>
      <c r="Z74" s="59"/>
      <c r="AA74" s="59"/>
      <c r="AB74" s="59"/>
      <c r="AE74" s="5">
        <v>1</v>
      </c>
      <c r="AF74" s="59">
        <v>7.7</v>
      </c>
      <c r="AG74" s="59">
        <v>7.7</v>
      </c>
      <c r="AH74" s="59">
        <v>7.7</v>
      </c>
      <c r="AI74" s="59">
        <v>7.7</v>
      </c>
      <c r="AJ74" s="59">
        <v>7.5</v>
      </c>
      <c r="AK74" s="59">
        <v>7.5</v>
      </c>
      <c r="AL74" s="63">
        <v>7.5030682360505399</v>
      </c>
      <c r="AM74" s="48">
        <v>7.766080295490994</v>
      </c>
      <c r="AN74" s="48">
        <v>7.7271565212862061</v>
      </c>
      <c r="AO74" s="48">
        <v>7.7838619408562462</v>
      </c>
    </row>
    <row r="75" spans="1:41" x14ac:dyDescent="0.3">
      <c r="B75" s="59"/>
      <c r="C75" s="59"/>
      <c r="D75" s="59"/>
      <c r="E75" s="59"/>
      <c r="F75" s="59"/>
      <c r="G75" s="59"/>
      <c r="I75" s="59"/>
      <c r="J75" s="59"/>
      <c r="K75" s="59"/>
      <c r="L75" s="59"/>
      <c r="M75" s="59"/>
      <c r="N75" s="59"/>
      <c r="P75" s="59"/>
      <c r="Q75" s="59"/>
      <c r="R75" s="59"/>
      <c r="S75" s="59"/>
      <c r="T75" s="59"/>
      <c r="U75" s="59"/>
      <c r="W75" s="59"/>
      <c r="X75" s="59"/>
      <c r="Y75" s="59"/>
      <c r="Z75" s="59"/>
      <c r="AA75" s="59"/>
      <c r="AB75" s="59"/>
      <c r="AE75" s="5">
        <v>2</v>
      </c>
      <c r="AF75" s="59">
        <v>7.5</v>
      </c>
      <c r="AG75" s="59">
        <v>7.7</v>
      </c>
      <c r="AH75" s="59">
        <v>7.3</v>
      </c>
      <c r="AI75" s="59">
        <v>7.2</v>
      </c>
      <c r="AJ75" s="59">
        <v>7.4</v>
      </c>
      <c r="AK75" s="59">
        <v>7.5</v>
      </c>
      <c r="AL75" s="59">
        <v>7.1</v>
      </c>
      <c r="AM75" s="59">
        <v>7.6</v>
      </c>
      <c r="AN75" s="48">
        <v>7.2791468221362141</v>
      </c>
      <c r="AO75" s="48">
        <v>7.3030708322381566</v>
      </c>
    </row>
    <row r="76" spans="1:41" x14ac:dyDescent="0.3">
      <c r="B76" s="59"/>
      <c r="C76" s="59"/>
      <c r="D76" s="59"/>
      <c r="E76" s="59"/>
      <c r="F76" s="59"/>
      <c r="G76" s="59"/>
      <c r="I76" s="59"/>
      <c r="J76" s="59"/>
      <c r="K76" s="59"/>
      <c r="L76" s="59"/>
      <c r="M76" s="59"/>
      <c r="N76" s="59"/>
      <c r="P76" s="59"/>
      <c r="Q76" s="59"/>
      <c r="R76" s="59"/>
      <c r="S76" s="59"/>
      <c r="T76" s="59"/>
      <c r="U76" s="59"/>
      <c r="W76" s="59"/>
      <c r="X76" s="59"/>
      <c r="Y76" s="59"/>
      <c r="Z76" s="59"/>
      <c r="AA76" s="59"/>
      <c r="AB76" s="59"/>
      <c r="AE76" s="5">
        <v>3</v>
      </c>
      <c r="AF76" s="59">
        <v>7.3</v>
      </c>
      <c r="AG76" s="59">
        <v>7.1</v>
      </c>
      <c r="AH76" s="59">
        <v>7.2</v>
      </c>
      <c r="AI76" s="59">
        <v>7.3</v>
      </c>
      <c r="AJ76" s="59">
        <v>7.7</v>
      </c>
      <c r="AK76" s="59">
        <v>7.1</v>
      </c>
      <c r="AL76" s="59">
        <v>7.4</v>
      </c>
      <c r="AM76" s="59">
        <v>7.2</v>
      </c>
      <c r="AN76" s="48">
        <v>7.2966642805681872</v>
      </c>
      <c r="AO76" s="48">
        <v>7.4187255634219733</v>
      </c>
    </row>
    <row r="77" spans="1:41" x14ac:dyDescent="0.3">
      <c r="B77" s="59"/>
      <c r="C77" s="48"/>
      <c r="D77" s="48"/>
      <c r="E77" s="48"/>
      <c r="F77" s="48"/>
      <c r="G77" s="48"/>
      <c r="I77" s="59"/>
      <c r="J77" s="48"/>
      <c r="K77" s="48"/>
      <c r="L77" s="48"/>
      <c r="M77" s="48"/>
      <c r="N77" s="48"/>
      <c r="P77" s="59"/>
      <c r="Q77" s="5"/>
      <c r="R77" s="5"/>
      <c r="S77" s="5"/>
      <c r="T77" s="5"/>
      <c r="U77" s="5"/>
      <c r="W77" s="59"/>
      <c r="X77" s="5"/>
      <c r="Y77" s="5"/>
      <c r="Z77" s="5"/>
      <c r="AA77" s="5"/>
      <c r="AB77" s="5"/>
      <c r="AE77" s="5">
        <v>4</v>
      </c>
      <c r="AF77" s="59">
        <v>7.1</v>
      </c>
      <c r="AG77" s="59">
        <v>7.3</v>
      </c>
      <c r="AH77" s="59">
        <v>7.3</v>
      </c>
      <c r="AI77" s="59">
        <v>7.1</v>
      </c>
      <c r="AJ77" s="59">
        <v>7.7</v>
      </c>
      <c r="AK77" s="59">
        <v>7.6</v>
      </c>
      <c r="AL77" s="59">
        <v>7.4</v>
      </c>
      <c r="AM77" s="59">
        <v>7.2</v>
      </c>
      <c r="AN77" s="48">
        <v>7.4013594839235122</v>
      </c>
      <c r="AO77" s="48">
        <v>7.1581953762808119</v>
      </c>
    </row>
    <row r="78" spans="1:41" x14ac:dyDescent="0.3">
      <c r="B78" s="59"/>
      <c r="C78" s="48"/>
      <c r="D78" s="48"/>
      <c r="E78" s="48"/>
      <c r="F78" s="48"/>
      <c r="G78" s="48"/>
      <c r="I78" s="59"/>
      <c r="J78" s="48"/>
      <c r="K78" s="48"/>
      <c r="L78" s="48"/>
      <c r="M78" s="48"/>
      <c r="N78" s="48"/>
      <c r="P78" s="59"/>
      <c r="Q78" s="5"/>
      <c r="R78" s="5"/>
      <c r="S78" s="5"/>
      <c r="T78" s="5"/>
      <c r="U78" s="5"/>
      <c r="W78" s="59"/>
      <c r="X78" s="5"/>
      <c r="Y78" s="5"/>
      <c r="Z78" s="5"/>
      <c r="AA78" s="5"/>
      <c r="AB78" s="5"/>
      <c r="AE78" s="5">
        <v>5</v>
      </c>
      <c r="AF78" s="59">
        <v>7.4</v>
      </c>
      <c r="AG78" s="59">
        <v>7.2</v>
      </c>
      <c r="AH78" s="59">
        <v>7.4</v>
      </c>
      <c r="AI78" s="59">
        <v>7.5</v>
      </c>
      <c r="AJ78" s="59">
        <v>7.3</v>
      </c>
      <c r="AK78" s="59">
        <v>7.4</v>
      </c>
      <c r="AL78" s="59">
        <v>7.3</v>
      </c>
      <c r="AM78" s="59">
        <v>7.3</v>
      </c>
      <c r="AN78" s="48">
        <v>7.2794200347764084</v>
      </c>
      <c r="AO78" s="48">
        <v>7.2839412134370738</v>
      </c>
    </row>
    <row r="79" spans="1:41" x14ac:dyDescent="0.3">
      <c r="B79" s="59"/>
      <c r="C79" s="48"/>
      <c r="D79" s="48"/>
      <c r="E79" s="48"/>
      <c r="F79" s="48"/>
      <c r="G79" s="48"/>
      <c r="I79" s="59"/>
      <c r="J79" s="48"/>
      <c r="K79" s="48"/>
      <c r="L79" s="48"/>
      <c r="M79" s="48"/>
      <c r="N79" s="48"/>
      <c r="P79" s="59"/>
      <c r="Q79" s="5"/>
      <c r="R79" s="5"/>
      <c r="S79" s="5"/>
      <c r="T79" s="5"/>
      <c r="U79" s="5"/>
      <c r="W79" s="59"/>
      <c r="X79" s="5"/>
      <c r="Y79" s="5"/>
      <c r="Z79" s="5"/>
      <c r="AA79" s="5"/>
      <c r="AB79" s="5"/>
      <c r="AE79" s="5">
        <v>6</v>
      </c>
      <c r="AF79" s="59">
        <v>7.6</v>
      </c>
      <c r="AG79" s="59">
        <v>7.1</v>
      </c>
      <c r="AH79" s="59">
        <v>7.2</v>
      </c>
      <c r="AI79" s="59">
        <v>7.3</v>
      </c>
      <c r="AJ79" s="59">
        <v>7.5</v>
      </c>
      <c r="AK79" s="59">
        <v>7.4</v>
      </c>
      <c r="AL79" s="59">
        <v>7.4</v>
      </c>
      <c r="AM79" s="59">
        <v>7.3</v>
      </c>
      <c r="AN79" s="48">
        <v>7.4050777726028283</v>
      </c>
      <c r="AO79" s="48">
        <v>7.4376958797518506</v>
      </c>
    </row>
    <row r="80" spans="1:41" x14ac:dyDescent="0.3">
      <c r="B80" s="59"/>
      <c r="C80" s="48"/>
      <c r="D80" s="48"/>
      <c r="E80" s="48"/>
      <c r="F80" s="48"/>
      <c r="G80" s="48"/>
      <c r="I80" s="59"/>
      <c r="J80" s="48"/>
      <c r="K80" s="48"/>
      <c r="L80" s="48"/>
      <c r="M80" s="48"/>
      <c r="N80" s="48"/>
      <c r="P80" s="59"/>
      <c r="Q80" s="5"/>
      <c r="R80" s="5"/>
      <c r="S80" s="5"/>
      <c r="T80" s="5"/>
      <c r="U80" s="5"/>
      <c r="W80" s="59"/>
      <c r="X80" s="5"/>
      <c r="Y80" s="5"/>
      <c r="Z80" s="5"/>
      <c r="AA80" s="5"/>
      <c r="AB80" s="5"/>
      <c r="AE80" s="5">
        <v>7</v>
      </c>
      <c r="AF80" s="59">
        <v>7.3</v>
      </c>
      <c r="AG80" s="48">
        <v>7.1873188307533358</v>
      </c>
      <c r="AH80" s="48">
        <v>7.1446836790249195</v>
      </c>
      <c r="AI80" s="48">
        <v>7.4134031088380148</v>
      </c>
      <c r="AJ80" s="48">
        <v>7.3788190310787334</v>
      </c>
      <c r="AK80" s="48">
        <v>7.3199084859035297</v>
      </c>
      <c r="AL80" s="48">
        <v>7.1647603985689345</v>
      </c>
      <c r="AM80" s="48">
        <v>7.3722384426382845</v>
      </c>
      <c r="AN80" s="48">
        <v>7.1711190324214122</v>
      </c>
      <c r="AO80" s="48">
        <v>7.2412544558305818</v>
      </c>
    </row>
    <row r="81" spans="2:41" x14ac:dyDescent="0.3">
      <c r="B81" s="59"/>
      <c r="C81" s="48"/>
      <c r="D81" s="48"/>
      <c r="E81" s="48"/>
      <c r="F81" s="48"/>
      <c r="G81" s="48"/>
      <c r="I81" s="59"/>
      <c r="J81" s="48"/>
      <c r="K81" s="48"/>
      <c r="L81" s="48"/>
      <c r="M81" s="48"/>
      <c r="N81" s="48"/>
      <c r="P81" s="59"/>
      <c r="Q81" s="5"/>
      <c r="R81" s="5"/>
      <c r="S81" s="5"/>
      <c r="T81" s="5"/>
      <c r="U81" s="5"/>
      <c r="W81" s="59"/>
      <c r="X81" s="5"/>
      <c r="Y81" s="5"/>
      <c r="Z81" s="5"/>
      <c r="AA81" s="5"/>
      <c r="AB81" s="5"/>
      <c r="AE81" s="5">
        <v>8</v>
      </c>
      <c r="AF81" s="59">
        <v>7.1</v>
      </c>
      <c r="AG81" s="48">
        <v>7.2963677353467</v>
      </c>
      <c r="AH81" s="48">
        <v>7.1910865477963384</v>
      </c>
      <c r="AI81" s="48">
        <v>7.6459577063398712</v>
      </c>
      <c r="AJ81" s="48">
        <v>7.6858854329563204</v>
      </c>
      <c r="AK81" s="48">
        <v>7.4014506865723124</v>
      </c>
      <c r="AL81" s="48">
        <v>7.2737719061138675</v>
      </c>
      <c r="AM81" s="63">
        <v>7.3210943503908208</v>
      </c>
      <c r="AN81" s="63">
        <v>7.1173379978211599</v>
      </c>
      <c r="AO81" s="63">
        <v>7.1560046997830762</v>
      </c>
    </row>
    <row r="82" spans="2:41" x14ac:dyDescent="0.3">
      <c r="B82" s="59"/>
      <c r="C82" s="48"/>
      <c r="D82" s="48"/>
      <c r="E82" s="48"/>
      <c r="F82" s="48"/>
      <c r="G82" s="48"/>
      <c r="I82" s="59"/>
      <c r="J82" s="48"/>
      <c r="K82" s="48"/>
      <c r="L82" s="48"/>
      <c r="M82" s="48"/>
      <c r="N82" s="48"/>
      <c r="P82" s="59"/>
      <c r="Q82" s="5"/>
      <c r="R82" s="5"/>
      <c r="S82" s="5"/>
      <c r="T82" s="5"/>
      <c r="U82" s="5"/>
      <c r="W82" s="59"/>
      <c r="X82" s="5"/>
      <c r="Y82" s="5"/>
      <c r="Z82" s="5"/>
      <c r="AA82" s="5"/>
      <c r="AB82" s="5"/>
      <c r="AE82" s="5"/>
    </row>
    <row r="83" spans="2:41" x14ac:dyDescent="0.3">
      <c r="B83" s="59"/>
      <c r="C83" s="48"/>
      <c r="D83" s="48"/>
      <c r="E83" s="48"/>
      <c r="F83" s="48"/>
      <c r="G83" s="48"/>
      <c r="I83" s="59"/>
      <c r="J83" s="48"/>
      <c r="K83" s="48"/>
      <c r="L83" s="48"/>
      <c r="M83" s="48"/>
      <c r="N83" s="48"/>
      <c r="P83" s="59"/>
      <c r="Q83" s="5"/>
      <c r="R83" s="5"/>
      <c r="S83" s="5"/>
      <c r="T83" s="5"/>
      <c r="U83" s="5"/>
      <c r="W83" s="59"/>
      <c r="X83" s="5"/>
      <c r="Y83" s="5"/>
      <c r="Z83" s="5"/>
      <c r="AA83" s="5"/>
      <c r="AB83" s="5"/>
      <c r="AE83" s="5"/>
      <c r="AF83" s="132" t="s">
        <v>188</v>
      </c>
      <c r="AG83" s="132"/>
      <c r="AH83" s="132"/>
      <c r="AI83" s="132"/>
      <c r="AJ83" s="132"/>
      <c r="AK83" s="132"/>
      <c r="AL83" s="132"/>
      <c r="AM83" s="5"/>
    </row>
    <row r="84" spans="2:41" x14ac:dyDescent="0.3">
      <c r="B84" s="59"/>
      <c r="C84" s="63"/>
      <c r="D84" s="63"/>
      <c r="E84" s="63"/>
      <c r="F84" s="63"/>
      <c r="G84" s="63"/>
      <c r="I84" s="59"/>
      <c r="J84" s="63"/>
      <c r="K84" s="63"/>
      <c r="L84" s="63"/>
      <c r="M84" s="63"/>
      <c r="N84" s="63"/>
      <c r="P84" s="59"/>
      <c r="Q84" s="59"/>
      <c r="R84" s="59"/>
      <c r="S84" s="59"/>
      <c r="T84" s="59"/>
      <c r="U84" s="59"/>
      <c r="W84" s="59"/>
      <c r="X84" s="59"/>
      <c r="Y84" s="59"/>
      <c r="Z84" s="59"/>
      <c r="AA84" s="59"/>
      <c r="AB84" s="59"/>
      <c r="AF84" s="41">
        <v>1</v>
      </c>
      <c r="AG84" s="41">
        <v>2</v>
      </c>
      <c r="AH84" s="5">
        <v>3</v>
      </c>
      <c r="AI84" s="41">
        <v>4</v>
      </c>
      <c r="AJ84" s="41">
        <v>5</v>
      </c>
      <c r="AK84" s="41">
        <v>6</v>
      </c>
      <c r="AL84" s="41">
        <v>7</v>
      </c>
      <c r="AM84" s="41">
        <v>8</v>
      </c>
    </row>
    <row r="85" spans="2:41" x14ac:dyDescent="0.3">
      <c r="B85" s="59"/>
      <c r="C85" s="63"/>
      <c r="D85" s="63"/>
      <c r="E85" s="63"/>
      <c r="F85" s="63"/>
      <c r="G85" s="63"/>
      <c r="I85" s="59"/>
      <c r="J85" s="63"/>
      <c r="K85" s="63"/>
      <c r="L85" s="63"/>
      <c r="M85" s="63"/>
      <c r="N85" s="63"/>
      <c r="P85" s="59"/>
      <c r="Q85" s="59"/>
      <c r="R85" s="59"/>
      <c r="S85" s="59"/>
      <c r="T85" s="59"/>
      <c r="U85" s="59"/>
      <c r="W85" s="59"/>
      <c r="X85" s="59"/>
      <c r="Y85" s="59"/>
      <c r="Z85" s="59"/>
      <c r="AA85" s="59"/>
      <c r="AB85" s="59"/>
      <c r="AE85" s="5" t="s">
        <v>119</v>
      </c>
    </row>
    <row r="86" spans="2:41" x14ac:dyDescent="0.3">
      <c r="B86" s="59"/>
      <c r="C86" s="63"/>
      <c r="D86" s="63"/>
      <c r="E86" s="63"/>
      <c r="F86" s="63"/>
      <c r="G86" s="63"/>
      <c r="I86" s="59"/>
      <c r="J86" s="63"/>
      <c r="K86" s="63"/>
      <c r="L86" s="63"/>
      <c r="M86" s="63"/>
      <c r="N86" s="63"/>
      <c r="P86" s="59"/>
      <c r="Q86" s="59"/>
      <c r="R86" s="59"/>
      <c r="S86" s="59"/>
      <c r="T86" s="59"/>
      <c r="U86" s="59"/>
      <c r="W86" s="59"/>
      <c r="X86" s="59"/>
      <c r="Y86" s="59"/>
      <c r="Z86" s="59"/>
      <c r="AA86" s="59"/>
      <c r="AB86" s="59"/>
      <c r="AE86" s="5" t="s">
        <v>120</v>
      </c>
    </row>
    <row r="87" spans="2:41" x14ac:dyDescent="0.3">
      <c r="B87" s="59"/>
      <c r="C87" s="63"/>
      <c r="D87" s="63"/>
      <c r="E87" s="63"/>
      <c r="F87" s="63"/>
      <c r="G87" s="63"/>
      <c r="I87" s="59"/>
      <c r="J87" s="63"/>
      <c r="K87" s="63"/>
      <c r="L87" s="63"/>
      <c r="M87" s="63"/>
      <c r="N87" s="63"/>
      <c r="P87" s="59"/>
      <c r="Q87" s="59"/>
      <c r="R87" s="59"/>
      <c r="S87" s="59"/>
      <c r="T87" s="59"/>
      <c r="U87" s="59"/>
      <c r="W87" s="59"/>
      <c r="X87" s="59"/>
      <c r="Y87" s="59"/>
      <c r="Z87" s="59"/>
      <c r="AA87" s="59"/>
      <c r="AB87" s="59"/>
      <c r="AE87" s="5" t="s">
        <v>121</v>
      </c>
    </row>
    <row r="88" spans="2:41" x14ac:dyDescent="0.3">
      <c r="B88" s="5"/>
      <c r="C88" s="63"/>
      <c r="D88" s="63"/>
      <c r="E88" s="63"/>
      <c r="F88" s="63"/>
      <c r="G88" s="63"/>
      <c r="I88" s="59"/>
      <c r="J88" s="63"/>
      <c r="K88" s="63"/>
      <c r="L88" s="63"/>
      <c r="M88" s="63"/>
      <c r="N88" s="63"/>
      <c r="P88" s="59"/>
      <c r="Q88" s="59"/>
      <c r="R88" s="59"/>
      <c r="S88" s="59"/>
      <c r="T88" s="59"/>
      <c r="U88" s="59"/>
      <c r="W88" s="59"/>
      <c r="X88" s="59"/>
      <c r="Y88" s="59"/>
      <c r="Z88" s="59"/>
      <c r="AA88" s="59"/>
      <c r="AB88" s="59"/>
      <c r="AE88" s="5" t="s">
        <v>122</v>
      </c>
    </row>
    <row r="89" spans="2:41" x14ac:dyDescent="0.3">
      <c r="B89" s="59"/>
      <c r="C89" s="63"/>
      <c r="D89" s="63"/>
      <c r="E89" s="63"/>
      <c r="F89" s="63"/>
      <c r="G89" s="63"/>
      <c r="I89" s="59"/>
      <c r="J89" s="63"/>
      <c r="K89" s="63"/>
      <c r="L89" s="63"/>
      <c r="M89" s="63"/>
      <c r="N89" s="63"/>
      <c r="P89" s="59"/>
      <c r="Q89" s="59"/>
      <c r="R89" s="59"/>
      <c r="S89" s="59"/>
      <c r="T89" s="59"/>
      <c r="U89" s="59"/>
      <c r="W89" s="59"/>
      <c r="X89" s="59"/>
      <c r="Y89" s="59"/>
      <c r="Z89" s="59"/>
      <c r="AA89" s="59"/>
      <c r="AB89" s="59"/>
      <c r="AE89" s="5" t="s">
        <v>123</v>
      </c>
    </row>
    <row r="90" spans="2:41" x14ac:dyDescent="0.3">
      <c r="B90" s="59"/>
      <c r="C90" s="63"/>
      <c r="D90" s="63"/>
      <c r="E90" s="63"/>
      <c r="F90" s="63"/>
      <c r="G90" s="63"/>
      <c r="I90" s="59"/>
      <c r="J90" s="63"/>
      <c r="K90" s="63"/>
      <c r="L90" s="63"/>
      <c r="M90" s="63"/>
      <c r="N90" s="63"/>
      <c r="P90" s="59"/>
      <c r="Q90" s="59"/>
      <c r="R90" s="59"/>
      <c r="S90" s="59"/>
      <c r="T90" s="59"/>
      <c r="U90" s="59"/>
      <c r="W90" s="59"/>
      <c r="X90" s="59"/>
      <c r="Y90" s="59"/>
      <c r="Z90" s="59"/>
      <c r="AA90" s="59"/>
      <c r="AB90" s="59"/>
      <c r="AE90" s="5" t="s">
        <v>50</v>
      </c>
    </row>
    <row r="91" spans="2:41" x14ac:dyDescent="0.3">
      <c r="B91" s="59"/>
      <c r="C91" s="63"/>
      <c r="D91" s="63"/>
      <c r="E91" s="63"/>
      <c r="F91" s="63"/>
      <c r="G91" s="63"/>
      <c r="I91" s="59"/>
      <c r="J91" s="63"/>
      <c r="K91" s="63"/>
      <c r="L91" s="63"/>
      <c r="M91" s="63"/>
      <c r="N91" s="63"/>
      <c r="P91" s="59"/>
      <c r="Q91" s="59"/>
      <c r="R91" s="59"/>
      <c r="S91" s="59"/>
      <c r="T91" s="59"/>
      <c r="U91" s="59"/>
      <c r="W91" s="59"/>
      <c r="X91" s="59"/>
      <c r="Y91" s="59"/>
      <c r="Z91" s="59"/>
      <c r="AA91" s="59"/>
      <c r="AB91" s="59"/>
      <c r="AE91" s="5" t="s">
        <v>49</v>
      </c>
    </row>
    <row r="92" spans="2:41" x14ac:dyDescent="0.3">
      <c r="B92" s="59"/>
      <c r="AE92" s="5" t="s">
        <v>48</v>
      </c>
    </row>
    <row r="93" spans="2:41" x14ac:dyDescent="0.3">
      <c r="B93" s="59"/>
      <c r="AE93" s="5" t="s">
        <v>47</v>
      </c>
    </row>
    <row r="94" spans="2:41" x14ac:dyDescent="0.3">
      <c r="B94" s="59"/>
      <c r="AE94" s="5" t="s">
        <v>46</v>
      </c>
    </row>
    <row r="95" spans="2:41" x14ac:dyDescent="0.3">
      <c r="B95" s="59"/>
    </row>
    <row r="96" spans="2:41" x14ac:dyDescent="0.3">
      <c r="B96" s="59"/>
    </row>
    <row r="97" spans="2:2" x14ac:dyDescent="0.3">
      <c r="B97" s="59"/>
    </row>
    <row r="98" spans="2:2" x14ac:dyDescent="0.3">
      <c r="B98" s="59"/>
    </row>
    <row r="99" spans="2:2" x14ac:dyDescent="0.3">
      <c r="B99" s="59"/>
    </row>
    <row r="100" spans="2:2" x14ac:dyDescent="0.3">
      <c r="B100" s="59"/>
    </row>
    <row r="101" spans="2:2" x14ac:dyDescent="0.3">
      <c r="B101" s="59"/>
    </row>
    <row r="102" spans="2:2" x14ac:dyDescent="0.3">
      <c r="B102" s="59"/>
    </row>
    <row r="103" spans="2:2" x14ac:dyDescent="0.3">
      <c r="B103" s="59"/>
    </row>
    <row r="104" spans="2:2" x14ac:dyDescent="0.3">
      <c r="B104" s="5"/>
    </row>
    <row r="105" spans="2:2" x14ac:dyDescent="0.3">
      <c r="B105" s="59"/>
    </row>
    <row r="106" spans="2:2" x14ac:dyDescent="0.3">
      <c r="B106" s="59"/>
    </row>
    <row r="107" spans="2:2" x14ac:dyDescent="0.3">
      <c r="B107" s="59"/>
    </row>
    <row r="108" spans="2:2" x14ac:dyDescent="0.3">
      <c r="B108" s="59"/>
    </row>
    <row r="109" spans="2:2" x14ac:dyDescent="0.3">
      <c r="B109" s="59"/>
    </row>
    <row r="110" spans="2:2" x14ac:dyDescent="0.3">
      <c r="B110" s="59"/>
    </row>
  </sheetData>
  <mergeCells count="28">
    <mergeCell ref="AR2:AX2"/>
    <mergeCell ref="B58:H58"/>
    <mergeCell ref="L58:R58"/>
    <mergeCell ref="V58:AB58"/>
    <mergeCell ref="AZ1:AZ2"/>
    <mergeCell ref="AC2:AE2"/>
    <mergeCell ref="O2:Q2"/>
    <mergeCell ref="C2:C3"/>
    <mergeCell ref="S2:V2"/>
    <mergeCell ref="H2:M2"/>
    <mergeCell ref="D2:F2"/>
    <mergeCell ref="BZ19:CA19"/>
    <mergeCell ref="BA1:BB1"/>
    <mergeCell ref="BC1:BD1"/>
    <mergeCell ref="BE1:BF1"/>
    <mergeCell ref="BG1:BH1"/>
    <mergeCell ref="BI1:BJ1"/>
    <mergeCell ref="BQ19:BQ20"/>
    <mergeCell ref="BR19:BS19"/>
    <mergeCell ref="BT19:BU19"/>
    <mergeCell ref="BV19:BW19"/>
    <mergeCell ref="BX19:BY19"/>
    <mergeCell ref="AF72:AL72"/>
    <mergeCell ref="AF83:AL83"/>
    <mergeCell ref="AF59:AL59"/>
    <mergeCell ref="X2:AA2"/>
    <mergeCell ref="AM22:AM54"/>
    <mergeCell ref="AH2:AN2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FCC9-B691-4394-892B-BB7BB084971D}">
  <dimension ref="A1:AJ74"/>
  <sheetViews>
    <sheetView zoomScale="68" zoomScaleNormal="68" workbookViewId="0">
      <selection activeCell="P3" sqref="P3:P12"/>
    </sheetView>
  </sheetViews>
  <sheetFormatPr defaultRowHeight="13.8" x14ac:dyDescent="0.25"/>
  <cols>
    <col min="1" max="1" width="12.21875" style="5" customWidth="1"/>
    <col min="2" max="4" width="8.88671875" style="5"/>
    <col min="5" max="5" width="10.21875" style="5" bestFit="1" customWidth="1"/>
    <col min="6" max="6" width="14.44140625" style="5" customWidth="1"/>
    <col min="7" max="7" width="8.88671875" style="5"/>
    <col min="8" max="8" width="9.33203125" style="5" bestFit="1" customWidth="1"/>
    <col min="9" max="11" width="8.88671875" style="5"/>
    <col min="12" max="12" width="16.88671875" style="5" customWidth="1"/>
    <col min="13" max="22" width="8.88671875" style="5"/>
    <col min="23" max="23" width="13.77734375" style="5" customWidth="1"/>
    <col min="24" max="16384" width="8.88671875" style="5"/>
  </cols>
  <sheetData>
    <row r="1" spans="1:31" x14ac:dyDescent="0.25">
      <c r="A1" s="132" t="s">
        <v>137</v>
      </c>
      <c r="B1" s="132"/>
      <c r="C1" s="132"/>
      <c r="D1" s="132"/>
      <c r="E1" s="132"/>
      <c r="F1" s="132"/>
      <c r="G1" s="132"/>
      <c r="H1" s="132"/>
      <c r="I1" s="132"/>
      <c r="L1" s="132" t="s">
        <v>150</v>
      </c>
      <c r="M1" s="132"/>
      <c r="N1" s="132"/>
      <c r="O1" s="132"/>
      <c r="P1" s="132"/>
      <c r="Q1" s="132"/>
      <c r="R1" s="132"/>
      <c r="S1" s="132"/>
      <c r="T1" s="132"/>
      <c r="W1" s="132" t="s">
        <v>153</v>
      </c>
      <c r="X1" s="132"/>
      <c r="Y1" s="132"/>
      <c r="Z1" s="132"/>
      <c r="AA1" s="132"/>
      <c r="AB1" s="132"/>
      <c r="AC1" s="132"/>
      <c r="AD1" s="132"/>
      <c r="AE1" s="132"/>
    </row>
    <row r="2" spans="1:31" x14ac:dyDescent="0.25">
      <c r="A2" s="5" t="s">
        <v>51</v>
      </c>
      <c r="B2" s="5" t="s">
        <v>130</v>
      </c>
      <c r="C2" s="5" t="s">
        <v>131</v>
      </c>
      <c r="D2" s="5" t="s">
        <v>132</v>
      </c>
      <c r="E2" s="5" t="s">
        <v>133</v>
      </c>
      <c r="F2" s="5" t="s">
        <v>202</v>
      </c>
      <c r="G2" s="5" t="s">
        <v>118</v>
      </c>
      <c r="H2" s="5" t="s">
        <v>135</v>
      </c>
      <c r="I2" s="5" t="s">
        <v>136</v>
      </c>
      <c r="L2" s="5" t="s">
        <v>51</v>
      </c>
      <c r="M2" s="5" t="s">
        <v>130</v>
      </c>
      <c r="N2" s="5" t="s">
        <v>131</v>
      </c>
      <c r="O2" s="5" t="s">
        <v>132</v>
      </c>
      <c r="P2" s="5" t="s">
        <v>133</v>
      </c>
      <c r="Q2" s="5" t="s">
        <v>134</v>
      </c>
      <c r="R2" s="5" t="s">
        <v>139</v>
      </c>
      <c r="S2" s="5" t="s">
        <v>140</v>
      </c>
      <c r="T2" s="5" t="s">
        <v>136</v>
      </c>
      <c r="W2" s="5" t="s">
        <v>51</v>
      </c>
      <c r="X2" s="5" t="s">
        <v>130</v>
      </c>
      <c r="Y2" s="5" t="s">
        <v>131</v>
      </c>
      <c r="Z2" s="5" t="s">
        <v>132</v>
      </c>
      <c r="AA2" s="5" t="s">
        <v>133</v>
      </c>
      <c r="AB2" s="5" t="s">
        <v>134</v>
      </c>
      <c r="AC2" s="5" t="s">
        <v>139</v>
      </c>
      <c r="AD2" s="5" t="s">
        <v>140</v>
      </c>
      <c r="AE2" s="5" t="s">
        <v>136</v>
      </c>
    </row>
    <row r="3" spans="1:31" x14ac:dyDescent="0.25">
      <c r="A3" s="5" t="s">
        <v>128</v>
      </c>
      <c r="B3" s="5" t="s">
        <v>119</v>
      </c>
      <c r="C3" s="5">
        <v>0.28999999999999998</v>
      </c>
      <c r="D3" s="50">
        <f>(C3*10)+6.3</f>
        <v>9.1999999999999993</v>
      </c>
      <c r="E3" s="5">
        <f>F41*90%</f>
        <v>226800</v>
      </c>
      <c r="F3" s="5">
        <f>E3*D3</f>
        <v>2086559.9999999998</v>
      </c>
      <c r="G3" s="137">
        <v>90</v>
      </c>
      <c r="H3" s="48">
        <f>2380000/F3</f>
        <v>1.1406333870101988</v>
      </c>
      <c r="I3" s="36">
        <f>1000/D3</f>
        <v>108.69565217391305</v>
      </c>
      <c r="J3" s="48"/>
      <c r="L3" s="5" t="s">
        <v>141</v>
      </c>
      <c r="M3" s="5" t="s">
        <v>119</v>
      </c>
      <c r="N3" s="5">
        <v>0.26</v>
      </c>
      <c r="O3" s="5">
        <f>(N3*10)+D29</f>
        <v>16.400000000000002</v>
      </c>
      <c r="P3" s="5">
        <v>226800</v>
      </c>
      <c r="Q3" s="5">
        <f>P3*O3</f>
        <v>3719520.0000000005</v>
      </c>
      <c r="R3" s="5">
        <v>100</v>
      </c>
      <c r="S3" s="48">
        <f>5246011/Q3</f>
        <v>1.4103999978491846</v>
      </c>
      <c r="T3" s="36">
        <f>1000/O3</f>
        <v>60.975609756097555</v>
      </c>
      <c r="W3" s="5" t="s">
        <v>156</v>
      </c>
      <c r="X3" s="5" t="s">
        <v>119</v>
      </c>
      <c r="Y3" s="5">
        <v>0.31</v>
      </c>
      <c r="Z3" s="5">
        <f>(Y3*10)+O29</f>
        <v>24.100000000000005</v>
      </c>
      <c r="AA3" s="5">
        <v>106420</v>
      </c>
      <c r="AB3" s="5">
        <f>AA3*Z3</f>
        <v>2564722.0000000005</v>
      </c>
      <c r="AC3" s="5">
        <v>100</v>
      </c>
      <c r="AD3" s="48">
        <f>3631301/AB3</f>
        <v>1.4158653452498944</v>
      </c>
      <c r="AE3" s="36">
        <f>1000/Z3</f>
        <v>41.493775933609953</v>
      </c>
    </row>
    <row r="4" spans="1:31" x14ac:dyDescent="0.25">
      <c r="A4" s="5" t="s">
        <v>128</v>
      </c>
      <c r="B4" s="5" t="s">
        <v>120</v>
      </c>
      <c r="C4" s="5">
        <v>0.25</v>
      </c>
      <c r="D4" s="50">
        <f>(C4*10)+6.3</f>
        <v>8.8000000000000007</v>
      </c>
      <c r="E4" s="5">
        <f>F41*90%</f>
        <v>226800</v>
      </c>
      <c r="F4" s="5">
        <f t="shared" ref="F4:F12" si="0">E4*D4</f>
        <v>1995840.0000000002</v>
      </c>
      <c r="G4" s="137"/>
      <c r="H4" s="48">
        <f>2380000/F4</f>
        <v>1.1924803591470257</v>
      </c>
      <c r="I4" s="36">
        <f t="shared" ref="I4:I12" si="1">1000/D4</f>
        <v>113.63636363636363</v>
      </c>
      <c r="J4" s="48"/>
      <c r="L4" s="5" t="s">
        <v>141</v>
      </c>
      <c r="M4" s="5" t="s">
        <v>120</v>
      </c>
      <c r="N4" s="5">
        <v>0.21</v>
      </c>
      <c r="O4" s="5">
        <f t="shared" ref="O4:O12" si="2">(N4*10)+D30</f>
        <v>15.200000000000001</v>
      </c>
      <c r="P4" s="5">
        <v>226800</v>
      </c>
      <c r="Q4" s="5">
        <f t="shared" ref="Q4:Q12" si="3">P4*O4</f>
        <v>3447360.0000000005</v>
      </c>
      <c r="R4" s="5">
        <v>100</v>
      </c>
      <c r="S4" s="48">
        <f t="shared" ref="S4:S8" si="4">5246011/Q4</f>
        <v>1.5217473661004361</v>
      </c>
      <c r="T4" s="36">
        <f t="shared" ref="T4:T12" si="5">1000/O4</f>
        <v>65.78947368421052</v>
      </c>
      <c r="W4" s="5" t="s">
        <v>156</v>
      </c>
      <c r="X4" s="5" t="s">
        <v>120</v>
      </c>
      <c r="Y4" s="5">
        <v>0.33</v>
      </c>
      <c r="Z4" s="5">
        <f t="shared" ref="Z4:Z12" si="6">(Y4*10)+O30</f>
        <v>22.700000000000003</v>
      </c>
      <c r="AA4" s="5">
        <v>105114</v>
      </c>
      <c r="AB4" s="5">
        <f t="shared" ref="AB4:AB12" si="7">AA4*Z4</f>
        <v>2386087.8000000003</v>
      </c>
      <c r="AC4" s="5">
        <v>100</v>
      </c>
      <c r="AD4" s="48">
        <f t="shared" ref="AD4:AD7" si="8">3631301/AB4</f>
        <v>1.5218639481749161</v>
      </c>
      <c r="AE4" s="36">
        <f t="shared" ref="AE4:AE12" si="9">1000/Z4</f>
        <v>44.052863436123346</v>
      </c>
    </row>
    <row r="5" spans="1:31" x14ac:dyDescent="0.25">
      <c r="A5" s="5" t="s">
        <v>128</v>
      </c>
      <c r="B5" s="5" t="s">
        <v>121</v>
      </c>
      <c r="C5" s="5">
        <v>0.21</v>
      </c>
      <c r="D5" s="50">
        <f t="shared" ref="D5:D12" si="10">(C5*10)+6.3</f>
        <v>8.4</v>
      </c>
      <c r="E5" s="5">
        <f>F41*90%</f>
        <v>226800</v>
      </c>
      <c r="F5" s="5">
        <f t="shared" si="0"/>
        <v>1905120</v>
      </c>
      <c r="G5" s="137"/>
      <c r="H5" s="48">
        <f>2380000/F5</f>
        <v>1.249265138154027</v>
      </c>
      <c r="I5" s="36">
        <f t="shared" si="1"/>
        <v>119.04761904761904</v>
      </c>
      <c r="J5" s="48"/>
      <c r="L5" s="5" t="s">
        <v>141</v>
      </c>
      <c r="M5" s="5" t="s">
        <v>121</v>
      </c>
      <c r="N5" s="5">
        <v>0.23</v>
      </c>
      <c r="O5" s="5">
        <f t="shared" si="2"/>
        <v>15.400000000000002</v>
      </c>
      <c r="P5" s="5">
        <v>226800</v>
      </c>
      <c r="Q5" s="5">
        <f t="shared" si="3"/>
        <v>3492720.0000000005</v>
      </c>
      <c r="R5" s="5">
        <v>100</v>
      </c>
      <c r="S5" s="48">
        <f t="shared" si="4"/>
        <v>1.5019844132939368</v>
      </c>
      <c r="T5" s="36">
        <f t="shared" si="5"/>
        <v>64.935064935064929</v>
      </c>
      <c r="W5" s="5" t="s">
        <v>156</v>
      </c>
      <c r="X5" s="5" t="s">
        <v>121</v>
      </c>
      <c r="Y5" s="5">
        <v>0.34</v>
      </c>
      <c r="Z5" s="5">
        <f t="shared" si="6"/>
        <v>23.6</v>
      </c>
      <c r="AA5" s="5">
        <v>106410</v>
      </c>
      <c r="AB5" s="5">
        <f t="shared" si="7"/>
        <v>2511276</v>
      </c>
      <c r="AC5" s="5">
        <v>100</v>
      </c>
      <c r="AD5" s="48">
        <f t="shared" si="8"/>
        <v>1.4459983689566578</v>
      </c>
      <c r="AE5" s="36">
        <f t="shared" si="9"/>
        <v>42.372881355932201</v>
      </c>
    </row>
    <row r="6" spans="1:31" x14ac:dyDescent="0.25">
      <c r="A6" s="5" t="s">
        <v>128</v>
      </c>
      <c r="B6" s="5" t="s">
        <v>122</v>
      </c>
      <c r="C6" s="5">
        <v>0.24</v>
      </c>
      <c r="D6" s="50">
        <f t="shared" si="10"/>
        <v>8.6999999999999993</v>
      </c>
      <c r="E6" s="5">
        <f>F41*G3%</f>
        <v>226800</v>
      </c>
      <c r="F6" s="5">
        <f t="shared" si="0"/>
        <v>1973159.9999999998</v>
      </c>
      <c r="G6" s="137"/>
      <c r="H6" s="48">
        <f t="shared" ref="H6:H12" si="11">2380000/F6</f>
        <v>1.2061870299418194</v>
      </c>
      <c r="I6" s="36">
        <f t="shared" si="1"/>
        <v>114.94252873563219</v>
      </c>
      <c r="J6" s="48"/>
      <c r="L6" s="5" t="s">
        <v>141</v>
      </c>
      <c r="M6" s="5" t="s">
        <v>122</v>
      </c>
      <c r="N6" s="5">
        <v>0.28000000000000003</v>
      </c>
      <c r="O6" s="5">
        <f t="shared" si="2"/>
        <v>15.799999999999999</v>
      </c>
      <c r="P6" s="5">
        <v>226800</v>
      </c>
      <c r="Q6" s="5">
        <f t="shared" si="3"/>
        <v>3583439.9999999995</v>
      </c>
      <c r="R6" s="5">
        <v>100</v>
      </c>
      <c r="S6" s="48">
        <f t="shared" si="4"/>
        <v>1.4639594914383947</v>
      </c>
      <c r="T6" s="36">
        <f t="shared" si="5"/>
        <v>63.291139240506332</v>
      </c>
      <c r="W6" s="5" t="s">
        <v>156</v>
      </c>
      <c r="X6" s="5" t="s">
        <v>122</v>
      </c>
      <c r="Y6" s="5">
        <v>0.28000000000000003</v>
      </c>
      <c r="Z6" s="5">
        <f t="shared" si="6"/>
        <v>23</v>
      </c>
      <c r="AA6" s="5">
        <v>100602</v>
      </c>
      <c r="AB6" s="5">
        <f t="shared" si="7"/>
        <v>2313846</v>
      </c>
      <c r="AC6" s="5">
        <v>100</v>
      </c>
      <c r="AD6" s="48">
        <f t="shared" si="8"/>
        <v>1.5693788609959349</v>
      </c>
      <c r="AE6" s="36">
        <f t="shared" si="9"/>
        <v>43.478260869565219</v>
      </c>
    </row>
    <row r="7" spans="1:31" x14ac:dyDescent="0.25">
      <c r="A7" s="5" t="s">
        <v>128</v>
      </c>
      <c r="B7" s="5" t="s">
        <v>123</v>
      </c>
      <c r="C7" s="5">
        <v>0.25</v>
      </c>
      <c r="D7" s="50">
        <f t="shared" si="10"/>
        <v>8.8000000000000007</v>
      </c>
      <c r="E7" s="5">
        <f>F41*90%</f>
        <v>226800</v>
      </c>
      <c r="F7" s="5">
        <f t="shared" si="0"/>
        <v>1995840.0000000002</v>
      </c>
      <c r="G7" s="137"/>
      <c r="H7" s="48">
        <f t="shared" si="11"/>
        <v>1.1924803591470257</v>
      </c>
      <c r="I7" s="36">
        <f t="shared" si="1"/>
        <v>113.63636363636363</v>
      </c>
      <c r="J7" s="48"/>
      <c r="L7" s="5" t="s">
        <v>141</v>
      </c>
      <c r="M7" s="5" t="s">
        <v>123</v>
      </c>
      <c r="N7" s="5">
        <v>0.27</v>
      </c>
      <c r="O7" s="5">
        <f t="shared" si="2"/>
        <v>16.3</v>
      </c>
      <c r="P7" s="5">
        <v>226800</v>
      </c>
      <c r="Q7" s="5">
        <f t="shared" si="3"/>
        <v>3696840</v>
      </c>
      <c r="R7" s="5">
        <v>100</v>
      </c>
      <c r="S7" s="48">
        <f t="shared" si="4"/>
        <v>1.4190527585721859</v>
      </c>
      <c r="T7" s="36">
        <f t="shared" si="5"/>
        <v>61.349693251533736</v>
      </c>
      <c r="W7" s="5" t="s">
        <v>156</v>
      </c>
      <c r="X7" s="5" t="s">
        <v>123</v>
      </c>
      <c r="Y7" s="50">
        <v>0.3</v>
      </c>
      <c r="Z7" s="5">
        <f t="shared" si="6"/>
        <v>24.400000000000002</v>
      </c>
      <c r="AA7" s="5">
        <v>105114</v>
      </c>
      <c r="AB7" s="5">
        <f t="shared" si="7"/>
        <v>2564781.6</v>
      </c>
      <c r="AC7" s="5">
        <v>100</v>
      </c>
      <c r="AD7" s="48">
        <f t="shared" si="8"/>
        <v>1.4158324435889589</v>
      </c>
      <c r="AE7" s="36">
        <f t="shared" si="9"/>
        <v>40.983606557377044</v>
      </c>
    </row>
    <row r="8" spans="1:31" x14ac:dyDescent="0.25">
      <c r="A8" s="5" t="s">
        <v>128</v>
      </c>
      <c r="B8" s="5" t="s">
        <v>50</v>
      </c>
      <c r="C8" s="5">
        <v>0.28000000000000003</v>
      </c>
      <c r="D8" s="50">
        <f t="shared" si="10"/>
        <v>9.1</v>
      </c>
      <c r="E8" s="5">
        <f>(2820*90)*85%</f>
        <v>215730</v>
      </c>
      <c r="F8" s="5">
        <f t="shared" si="0"/>
        <v>1963143</v>
      </c>
      <c r="G8" s="137">
        <v>85</v>
      </c>
      <c r="H8" s="48">
        <f t="shared" si="11"/>
        <v>1.2123416378735528</v>
      </c>
      <c r="I8" s="36">
        <f t="shared" si="1"/>
        <v>109.8901098901099</v>
      </c>
      <c r="J8" s="48"/>
      <c r="L8" s="5" t="s">
        <v>141</v>
      </c>
      <c r="M8" s="5" t="s">
        <v>50</v>
      </c>
      <c r="N8" s="5">
        <v>0.27</v>
      </c>
      <c r="O8" s="5">
        <f t="shared" si="2"/>
        <v>16.5</v>
      </c>
      <c r="P8" s="5">
        <v>215730</v>
      </c>
      <c r="Q8" s="5">
        <f t="shared" si="3"/>
        <v>3559545</v>
      </c>
      <c r="R8" s="5">
        <v>100</v>
      </c>
      <c r="S8" s="48">
        <f t="shared" si="4"/>
        <v>1.4737869587264665</v>
      </c>
      <c r="T8" s="36">
        <f t="shared" si="5"/>
        <v>60.606060606060609</v>
      </c>
      <c r="W8" s="5" t="s">
        <v>156</v>
      </c>
      <c r="X8" s="5" t="s">
        <v>50</v>
      </c>
      <c r="Y8" s="5">
        <v>0.33</v>
      </c>
      <c r="Z8" s="5">
        <f t="shared" si="6"/>
        <v>24.8</v>
      </c>
      <c r="AA8" s="5">
        <v>68558</v>
      </c>
      <c r="AB8" s="5">
        <f t="shared" si="7"/>
        <v>1700238.4000000001</v>
      </c>
      <c r="AC8" s="5">
        <v>100</v>
      </c>
      <c r="AD8" s="48">
        <f>2180000/AB8</f>
        <v>1.282173135249739</v>
      </c>
      <c r="AE8" s="36">
        <f t="shared" si="9"/>
        <v>40.322580645161288</v>
      </c>
    </row>
    <row r="9" spans="1:31" x14ac:dyDescent="0.25">
      <c r="A9" s="5" t="s">
        <v>128</v>
      </c>
      <c r="B9" s="5" t="s">
        <v>49</v>
      </c>
      <c r="C9" s="5">
        <v>0.27</v>
      </c>
      <c r="D9" s="50">
        <f t="shared" si="10"/>
        <v>9</v>
      </c>
      <c r="E9" s="5">
        <f>(2820*79)*85%</f>
        <v>189363</v>
      </c>
      <c r="F9" s="5">
        <f t="shared" si="0"/>
        <v>1704267</v>
      </c>
      <c r="G9" s="137"/>
      <c r="H9" s="48">
        <f t="shared" si="11"/>
        <v>1.3964947980568772</v>
      </c>
      <c r="I9" s="36">
        <f t="shared" si="1"/>
        <v>111.11111111111111</v>
      </c>
      <c r="J9" s="48"/>
      <c r="L9" s="5" t="s">
        <v>141</v>
      </c>
      <c r="M9" s="5" t="s">
        <v>49</v>
      </c>
      <c r="N9" s="5">
        <v>0.22</v>
      </c>
      <c r="O9" s="5">
        <f t="shared" si="2"/>
        <v>15.5</v>
      </c>
      <c r="P9" s="5">
        <v>189363</v>
      </c>
      <c r="Q9" s="5">
        <f t="shared" si="3"/>
        <v>2935126.5</v>
      </c>
      <c r="R9" s="5">
        <v>100</v>
      </c>
      <c r="S9" s="48">
        <f>3631301/Q9</f>
        <v>1.2371872217432536</v>
      </c>
      <c r="T9" s="36">
        <f t="shared" si="5"/>
        <v>64.516129032258064</v>
      </c>
      <c r="W9" s="5" t="s">
        <v>156</v>
      </c>
      <c r="X9" s="5" t="s">
        <v>49</v>
      </c>
      <c r="Y9" s="5">
        <v>0.31</v>
      </c>
      <c r="Z9" s="5">
        <f t="shared" si="6"/>
        <v>23</v>
      </c>
      <c r="AA9" s="5">
        <v>75203</v>
      </c>
      <c r="AB9" s="5">
        <f t="shared" si="7"/>
        <v>1729669</v>
      </c>
      <c r="AC9" s="5">
        <v>100</v>
      </c>
      <c r="AD9" s="48">
        <f t="shared" ref="AD9:AD12" si="12">2180000/AB9</f>
        <v>1.2603567503377815</v>
      </c>
      <c r="AE9" s="36">
        <f t="shared" si="9"/>
        <v>43.478260869565219</v>
      </c>
    </row>
    <row r="10" spans="1:31" x14ac:dyDescent="0.25">
      <c r="A10" s="5" t="s">
        <v>128</v>
      </c>
      <c r="B10" s="5" t="s">
        <v>48</v>
      </c>
      <c r="C10" s="5">
        <v>0.25</v>
      </c>
      <c r="D10" s="50">
        <f t="shared" si="10"/>
        <v>8.8000000000000007</v>
      </c>
      <c r="E10" s="5">
        <f>(2820*80)*85%</f>
        <v>191760</v>
      </c>
      <c r="F10" s="5">
        <f t="shared" si="0"/>
        <v>1687488.0000000002</v>
      </c>
      <c r="G10" s="137"/>
      <c r="H10" s="48">
        <f t="shared" si="11"/>
        <v>1.4103803997421016</v>
      </c>
      <c r="I10" s="36">
        <f t="shared" si="1"/>
        <v>113.63636363636363</v>
      </c>
      <c r="J10" s="48"/>
      <c r="L10" s="5" t="s">
        <v>141</v>
      </c>
      <c r="M10" s="5" t="s">
        <v>48</v>
      </c>
      <c r="N10" s="5">
        <v>0.22</v>
      </c>
      <c r="O10" s="5">
        <f t="shared" si="2"/>
        <v>15.8</v>
      </c>
      <c r="P10" s="5">
        <v>191760</v>
      </c>
      <c r="Q10" s="5">
        <f t="shared" si="3"/>
        <v>3029808</v>
      </c>
      <c r="R10" s="5">
        <v>100</v>
      </c>
      <c r="S10" s="48">
        <f t="shared" ref="S10:S12" si="13">3631301/Q10</f>
        <v>1.1985251210637771</v>
      </c>
      <c r="T10" s="36">
        <f t="shared" si="5"/>
        <v>63.291139240506325</v>
      </c>
      <c r="W10" s="5" t="s">
        <v>156</v>
      </c>
      <c r="X10" s="5" t="s">
        <v>48</v>
      </c>
      <c r="Y10" s="5">
        <v>0.35</v>
      </c>
      <c r="Z10" s="5">
        <f t="shared" si="6"/>
        <v>24.500000000000004</v>
      </c>
      <c r="AA10" s="5">
        <v>69074</v>
      </c>
      <c r="AB10" s="5">
        <f t="shared" si="7"/>
        <v>1692313.0000000002</v>
      </c>
      <c r="AC10" s="5">
        <v>100</v>
      </c>
      <c r="AD10" s="48">
        <f t="shared" si="12"/>
        <v>1.288177777987878</v>
      </c>
      <c r="AE10" s="36">
        <f t="shared" si="9"/>
        <v>40.816326530612237</v>
      </c>
    </row>
    <row r="11" spans="1:31" x14ac:dyDescent="0.25">
      <c r="A11" s="5" t="s">
        <v>128</v>
      </c>
      <c r="B11" s="5" t="s">
        <v>47</v>
      </c>
      <c r="C11" s="5">
        <v>0.26</v>
      </c>
      <c r="D11" s="50">
        <f t="shared" si="10"/>
        <v>8.9</v>
      </c>
      <c r="E11" s="5">
        <f>(2820*80)*85%</f>
        <v>191760</v>
      </c>
      <c r="F11" s="5">
        <f t="shared" si="0"/>
        <v>1706664</v>
      </c>
      <c r="G11" s="137"/>
      <c r="H11" s="48">
        <f t="shared" si="11"/>
        <v>1.3945334289584828</v>
      </c>
      <c r="I11" s="36">
        <f t="shared" si="1"/>
        <v>112.35955056179775</v>
      </c>
      <c r="J11" s="48"/>
      <c r="L11" s="5" t="s">
        <v>141</v>
      </c>
      <c r="M11" s="5" t="s">
        <v>47</v>
      </c>
      <c r="N11" s="5">
        <v>0.23</v>
      </c>
      <c r="O11" s="5">
        <f t="shared" si="2"/>
        <v>15.700000000000003</v>
      </c>
      <c r="P11" s="5">
        <v>191760</v>
      </c>
      <c r="Q11" s="5">
        <f t="shared" si="3"/>
        <v>3010632.0000000005</v>
      </c>
      <c r="R11" s="5">
        <v>100</v>
      </c>
      <c r="S11" s="48">
        <f t="shared" si="13"/>
        <v>1.2061590390323358</v>
      </c>
      <c r="T11" s="36">
        <f t="shared" si="5"/>
        <v>63.694267515923556</v>
      </c>
      <c r="W11" s="5" t="s">
        <v>156</v>
      </c>
      <c r="X11" s="5" t="s">
        <v>47</v>
      </c>
      <c r="Y11" s="5">
        <v>0.31</v>
      </c>
      <c r="Z11" s="5">
        <f t="shared" si="6"/>
        <v>23.400000000000006</v>
      </c>
      <c r="AA11" s="5">
        <v>69074</v>
      </c>
      <c r="AB11" s="5">
        <f t="shared" si="7"/>
        <v>1616331.6000000003</v>
      </c>
      <c r="AC11" s="5">
        <v>100</v>
      </c>
      <c r="AD11" s="48">
        <f t="shared" si="12"/>
        <v>1.3487331436197867</v>
      </c>
      <c r="AE11" s="36">
        <f t="shared" si="9"/>
        <v>42.735042735042725</v>
      </c>
    </row>
    <row r="12" spans="1:31" x14ac:dyDescent="0.25">
      <c r="A12" s="5" t="s">
        <v>128</v>
      </c>
      <c r="B12" s="5" t="s">
        <v>46</v>
      </c>
      <c r="C12" s="5">
        <v>0.26</v>
      </c>
      <c r="D12" s="50">
        <f t="shared" si="10"/>
        <v>8.9</v>
      </c>
      <c r="E12" s="5">
        <f>222780*85%</f>
        <v>189363</v>
      </c>
      <c r="F12" s="5">
        <f t="shared" si="0"/>
        <v>1685330.7</v>
      </c>
      <c r="G12" s="137"/>
      <c r="H12" s="48">
        <f t="shared" si="11"/>
        <v>1.4121857508440332</v>
      </c>
      <c r="I12" s="36">
        <f t="shared" si="1"/>
        <v>112.35955056179775</v>
      </c>
      <c r="J12" s="48"/>
      <c r="L12" s="5" t="s">
        <v>141</v>
      </c>
      <c r="M12" s="5" t="s">
        <v>46</v>
      </c>
      <c r="N12" s="5">
        <v>0.24</v>
      </c>
      <c r="O12" s="5">
        <f t="shared" si="2"/>
        <v>15.5</v>
      </c>
      <c r="P12" s="5">
        <v>189363</v>
      </c>
      <c r="Q12" s="5">
        <f t="shared" si="3"/>
        <v>2935126.5</v>
      </c>
      <c r="R12" s="5">
        <v>100</v>
      </c>
      <c r="S12" s="48">
        <f t="shared" si="13"/>
        <v>1.2371872217432536</v>
      </c>
      <c r="T12" s="36">
        <f t="shared" si="5"/>
        <v>64.516129032258064</v>
      </c>
      <c r="W12" s="5" t="s">
        <v>156</v>
      </c>
      <c r="X12" s="5" t="s">
        <v>46</v>
      </c>
      <c r="Y12" s="5">
        <v>0.32</v>
      </c>
      <c r="Z12" s="5">
        <f t="shared" si="6"/>
        <v>22.900000000000002</v>
      </c>
      <c r="AA12" s="5">
        <v>75203</v>
      </c>
      <c r="AB12" s="5">
        <f t="shared" si="7"/>
        <v>1722148.7000000002</v>
      </c>
      <c r="AC12" s="5">
        <v>100</v>
      </c>
      <c r="AD12" s="48">
        <f t="shared" si="12"/>
        <v>1.2658604916056317</v>
      </c>
      <c r="AE12" s="36">
        <f t="shared" si="9"/>
        <v>43.668122270742352</v>
      </c>
    </row>
    <row r="14" spans="1:31" x14ac:dyDescent="0.25">
      <c r="A14" s="132" t="s">
        <v>148</v>
      </c>
      <c r="B14" s="132"/>
      <c r="C14" s="132"/>
      <c r="D14" s="132"/>
      <c r="E14" s="132"/>
      <c r="F14" s="132"/>
      <c r="G14" s="132"/>
      <c r="H14" s="132"/>
      <c r="I14" s="132"/>
      <c r="L14" s="132" t="s">
        <v>151</v>
      </c>
      <c r="M14" s="132"/>
      <c r="N14" s="132"/>
      <c r="O14" s="132"/>
      <c r="P14" s="132"/>
      <c r="Q14" s="132"/>
      <c r="R14" s="132"/>
      <c r="S14" s="132"/>
      <c r="T14" s="132"/>
      <c r="W14" s="132" t="s">
        <v>143</v>
      </c>
      <c r="X14" s="132"/>
      <c r="Y14" s="132"/>
      <c r="Z14" s="132"/>
      <c r="AA14" s="132"/>
      <c r="AB14" s="132"/>
      <c r="AC14" s="132"/>
      <c r="AD14" s="132"/>
      <c r="AE14" s="132"/>
    </row>
    <row r="15" spans="1:31" x14ac:dyDescent="0.25">
      <c r="A15" s="5" t="s">
        <v>51</v>
      </c>
      <c r="B15" s="5" t="s">
        <v>130</v>
      </c>
      <c r="C15" s="5" t="s">
        <v>131</v>
      </c>
      <c r="D15" s="5" t="s">
        <v>132</v>
      </c>
      <c r="E15" s="5" t="s">
        <v>133</v>
      </c>
      <c r="F15" s="5" t="s">
        <v>134</v>
      </c>
      <c r="G15" s="5" t="s">
        <v>139</v>
      </c>
      <c r="H15" s="5" t="s">
        <v>140</v>
      </c>
      <c r="I15" s="5" t="s">
        <v>136</v>
      </c>
      <c r="L15" s="5" t="s">
        <v>51</v>
      </c>
      <c r="M15" s="5" t="s">
        <v>130</v>
      </c>
      <c r="N15" s="5" t="s">
        <v>131</v>
      </c>
      <c r="O15" s="5" t="s">
        <v>132</v>
      </c>
      <c r="P15" s="5" t="s">
        <v>133</v>
      </c>
      <c r="Q15" s="5" t="s">
        <v>134</v>
      </c>
      <c r="R15" s="5" t="s">
        <v>139</v>
      </c>
      <c r="S15" s="5" t="s">
        <v>140</v>
      </c>
      <c r="T15" s="5" t="s">
        <v>136</v>
      </c>
      <c r="W15" s="5" t="s">
        <v>51</v>
      </c>
      <c r="X15" s="5" t="s">
        <v>130</v>
      </c>
      <c r="Y15" s="5" t="s">
        <v>131</v>
      </c>
      <c r="Z15" s="5" t="s">
        <v>132</v>
      </c>
      <c r="AA15" s="5" t="s">
        <v>133</v>
      </c>
      <c r="AB15" s="5" t="s">
        <v>134</v>
      </c>
      <c r="AC15" s="5" t="s">
        <v>139</v>
      </c>
      <c r="AD15" s="5" t="s">
        <v>140</v>
      </c>
      <c r="AE15" s="5" t="s">
        <v>136</v>
      </c>
    </row>
    <row r="16" spans="1:31" x14ac:dyDescent="0.25">
      <c r="A16" s="5" t="s">
        <v>129</v>
      </c>
      <c r="B16" s="5" t="s">
        <v>119</v>
      </c>
      <c r="C16" s="5">
        <v>0.28000000000000003</v>
      </c>
      <c r="D16" s="50">
        <f>D3+2.3</f>
        <v>11.5</v>
      </c>
      <c r="E16" s="36">
        <v>226800</v>
      </c>
      <c r="F16" s="5">
        <f>E16*D16</f>
        <v>2608200</v>
      </c>
      <c r="G16" s="5">
        <v>98</v>
      </c>
      <c r="H16" s="48">
        <f>2924620/F16</f>
        <v>1.1213173836362242</v>
      </c>
      <c r="I16" s="36">
        <f>1000/D16</f>
        <v>86.956521739130437</v>
      </c>
      <c r="L16" s="5" t="s">
        <v>154</v>
      </c>
      <c r="M16" s="5" t="s">
        <v>119</v>
      </c>
      <c r="N16" s="5">
        <v>0.23</v>
      </c>
      <c r="O16" s="5">
        <f>(N16*10)+O3</f>
        <v>18.700000000000003</v>
      </c>
      <c r="P16" s="5">
        <f>P3-64000</f>
        <v>162800</v>
      </c>
      <c r="Q16" s="5">
        <f>P16*O16</f>
        <v>3044360.0000000005</v>
      </c>
      <c r="R16" s="5">
        <v>100</v>
      </c>
      <c r="S16" s="48">
        <f>3631301/Q16</f>
        <v>1.1927961870475237</v>
      </c>
      <c r="T16" s="36">
        <f>1000/O16</f>
        <v>53.475935828876999</v>
      </c>
      <c r="W16" s="5" t="s">
        <v>142</v>
      </c>
      <c r="X16" s="5" t="s">
        <v>119</v>
      </c>
      <c r="Y16" s="5">
        <v>0.31</v>
      </c>
      <c r="Z16" s="5">
        <f>(Y16*10)+Z3</f>
        <v>27.200000000000006</v>
      </c>
      <c r="AA16" s="5">
        <v>106420</v>
      </c>
      <c r="AB16" s="5">
        <f>Z16*AA16</f>
        <v>2894624.0000000005</v>
      </c>
      <c r="AC16" s="5">
        <v>100</v>
      </c>
      <c r="AD16" s="48">
        <f>3631301/AB16</f>
        <v>1.2544983389897961</v>
      </c>
      <c r="AE16" s="36">
        <f>1000/Z16</f>
        <v>36.764705882352935</v>
      </c>
    </row>
    <row r="17" spans="1:31" x14ac:dyDescent="0.25">
      <c r="A17" s="5" t="s">
        <v>129</v>
      </c>
      <c r="B17" s="5" t="s">
        <v>120</v>
      </c>
      <c r="C17" s="5">
        <v>0.21</v>
      </c>
      <c r="D17" s="50">
        <f>D4+2.1</f>
        <v>10.9</v>
      </c>
      <c r="E17" s="5">
        <v>226800</v>
      </c>
      <c r="F17" s="5">
        <f t="shared" ref="F17:F25" si="14">E17*D17</f>
        <v>2472120</v>
      </c>
      <c r="G17" s="5">
        <v>99</v>
      </c>
      <c r="H17" s="48">
        <f t="shared" ref="H17:H25" si="15">2924620/F17</f>
        <v>1.1830412763134475</v>
      </c>
      <c r="I17" s="36">
        <f t="shared" ref="I17:I25" si="16">1000/D17</f>
        <v>91.743119266055047</v>
      </c>
      <c r="L17" s="5" t="s">
        <v>154</v>
      </c>
      <c r="M17" s="5" t="s">
        <v>120</v>
      </c>
      <c r="N17" s="5">
        <v>0.21</v>
      </c>
      <c r="O17" s="5">
        <f t="shared" ref="O17:O25" si="17">(N17*10)+O4</f>
        <v>17.3</v>
      </c>
      <c r="P17" s="5">
        <f>223344-73320</f>
        <v>150024</v>
      </c>
      <c r="Q17" s="5">
        <f t="shared" ref="Q17:Q25" si="18">P17*O17</f>
        <v>2595415.2000000002</v>
      </c>
      <c r="R17" s="5">
        <v>100</v>
      </c>
      <c r="S17" s="48">
        <f t="shared" ref="S17:S21" si="19">3631301/Q17</f>
        <v>1.3991214199562365</v>
      </c>
      <c r="T17" s="36">
        <f t="shared" ref="T17:T25" si="20">1000/O17</f>
        <v>57.803468208092482</v>
      </c>
      <c r="W17" s="5" t="s">
        <v>142</v>
      </c>
      <c r="X17" s="5" t="s">
        <v>120</v>
      </c>
      <c r="Y17" s="5">
        <v>0.33</v>
      </c>
      <c r="Z17" s="5">
        <f t="shared" ref="Z17:Z25" si="21">(Y17*10)+Z4</f>
        <v>26.000000000000004</v>
      </c>
      <c r="AA17" s="5">
        <v>105114</v>
      </c>
      <c r="AB17" s="5">
        <f t="shared" ref="AB17:AB25" si="22">Z17*AA17</f>
        <v>2732964.0000000005</v>
      </c>
      <c r="AC17" s="5">
        <v>100</v>
      </c>
      <c r="AD17" s="48">
        <f t="shared" ref="AD17:AD20" si="23">3631301/AB17</f>
        <v>1.3287042932142537</v>
      </c>
      <c r="AE17" s="36">
        <f t="shared" ref="AE17:AE25" si="24">1000/Z17</f>
        <v>38.461538461538453</v>
      </c>
    </row>
    <row r="18" spans="1:31" x14ac:dyDescent="0.25">
      <c r="A18" s="5" t="s">
        <v>129</v>
      </c>
      <c r="B18" s="5" t="s">
        <v>121</v>
      </c>
      <c r="C18" s="5">
        <v>0.24</v>
      </c>
      <c r="D18" s="50">
        <f>(C18*10)+D5</f>
        <v>10.8</v>
      </c>
      <c r="E18" s="5">
        <v>226800</v>
      </c>
      <c r="F18" s="5">
        <f t="shared" si="14"/>
        <v>2449440</v>
      </c>
      <c r="G18" s="5">
        <v>98</v>
      </c>
      <c r="H18" s="48">
        <f t="shared" si="15"/>
        <v>1.1939953622052388</v>
      </c>
      <c r="I18" s="36">
        <f t="shared" si="16"/>
        <v>92.592592592592581</v>
      </c>
      <c r="L18" s="5" t="s">
        <v>154</v>
      </c>
      <c r="M18" s="5" t="s">
        <v>121</v>
      </c>
      <c r="N18" s="5">
        <v>0.24</v>
      </c>
      <c r="O18" s="5">
        <f t="shared" si="17"/>
        <v>17.8</v>
      </c>
      <c r="P18" s="5">
        <f>218314-64000</f>
        <v>154314</v>
      </c>
      <c r="Q18" s="5">
        <f t="shared" si="18"/>
        <v>2746789.2</v>
      </c>
      <c r="R18" s="5">
        <v>100</v>
      </c>
      <c r="S18" s="48">
        <f t="shared" si="19"/>
        <v>1.3220166294523072</v>
      </c>
      <c r="T18" s="36">
        <f t="shared" si="20"/>
        <v>56.179775280898873</v>
      </c>
      <c r="W18" s="5" t="s">
        <v>142</v>
      </c>
      <c r="X18" s="5" t="s">
        <v>121</v>
      </c>
      <c r="Y18" s="5">
        <v>0.34</v>
      </c>
      <c r="Z18" s="5">
        <f t="shared" si="21"/>
        <v>27</v>
      </c>
      <c r="AA18" s="5">
        <v>106410</v>
      </c>
      <c r="AB18" s="5">
        <f t="shared" si="22"/>
        <v>2873070</v>
      </c>
      <c r="AC18" s="5">
        <v>100</v>
      </c>
      <c r="AD18" s="48">
        <f t="shared" si="23"/>
        <v>1.263909685458412</v>
      </c>
      <c r="AE18" s="36">
        <f t="shared" si="24"/>
        <v>37.037037037037038</v>
      </c>
    </row>
    <row r="19" spans="1:31" x14ac:dyDescent="0.25">
      <c r="A19" s="5" t="s">
        <v>129</v>
      </c>
      <c r="B19" s="5" t="s">
        <v>122</v>
      </c>
      <c r="C19" s="5">
        <v>0.22</v>
      </c>
      <c r="D19" s="50">
        <f t="shared" ref="D19:D25" si="25">(C19*10)+D6</f>
        <v>10.899999999999999</v>
      </c>
      <c r="E19" s="5">
        <v>226800</v>
      </c>
      <c r="F19" s="5">
        <f t="shared" si="14"/>
        <v>2472119.9999999995</v>
      </c>
      <c r="G19" s="5">
        <v>97</v>
      </c>
      <c r="H19" s="48">
        <f t="shared" si="15"/>
        <v>1.1830412763134477</v>
      </c>
      <c r="I19" s="36">
        <f t="shared" si="16"/>
        <v>91.743119266055061</v>
      </c>
      <c r="L19" s="5" t="s">
        <v>154</v>
      </c>
      <c r="M19" s="5" t="s">
        <v>122</v>
      </c>
      <c r="N19" s="5">
        <v>0.22</v>
      </c>
      <c r="O19" s="5">
        <f t="shared" si="17"/>
        <v>18</v>
      </c>
      <c r="P19" s="5">
        <f>218832-73320</f>
        <v>145512</v>
      </c>
      <c r="Q19" s="5">
        <f t="shared" si="18"/>
        <v>2619216</v>
      </c>
      <c r="R19" s="5">
        <v>100</v>
      </c>
      <c r="S19" s="48">
        <f t="shared" si="19"/>
        <v>1.3864076120487963</v>
      </c>
      <c r="T19" s="36">
        <f t="shared" si="20"/>
        <v>55.555555555555557</v>
      </c>
      <c r="W19" s="5" t="s">
        <v>142</v>
      </c>
      <c r="X19" s="5" t="s">
        <v>122</v>
      </c>
      <c r="Y19" s="5">
        <v>0.28000000000000003</v>
      </c>
      <c r="Z19" s="5">
        <f t="shared" si="21"/>
        <v>25.8</v>
      </c>
      <c r="AA19" s="5">
        <v>100602</v>
      </c>
      <c r="AB19" s="5">
        <f t="shared" si="22"/>
        <v>2595531.6</v>
      </c>
      <c r="AC19" s="5">
        <v>100</v>
      </c>
      <c r="AD19" s="48">
        <f t="shared" si="23"/>
        <v>1.3990586745312596</v>
      </c>
      <c r="AE19" s="36">
        <f t="shared" si="24"/>
        <v>38.759689922480618</v>
      </c>
    </row>
    <row r="20" spans="1:31" x14ac:dyDescent="0.25">
      <c r="A20" s="5" t="s">
        <v>129</v>
      </c>
      <c r="B20" s="5" t="s">
        <v>123</v>
      </c>
      <c r="C20" s="5">
        <v>0.24</v>
      </c>
      <c r="D20" s="50">
        <f t="shared" si="25"/>
        <v>11.200000000000001</v>
      </c>
      <c r="E20" s="5">
        <v>226800</v>
      </c>
      <c r="F20" s="5">
        <f t="shared" si="14"/>
        <v>2540160.0000000005</v>
      </c>
      <c r="G20" s="5">
        <v>99</v>
      </c>
      <c r="H20" s="48">
        <f t="shared" si="15"/>
        <v>1.1513526706979085</v>
      </c>
      <c r="I20" s="36">
        <f t="shared" si="16"/>
        <v>89.285714285714278</v>
      </c>
      <c r="L20" s="5" t="s">
        <v>154</v>
      </c>
      <c r="M20" s="5" t="s">
        <v>123</v>
      </c>
      <c r="N20" s="5">
        <v>0.26</v>
      </c>
      <c r="O20" s="5">
        <f t="shared" si="17"/>
        <v>18.900000000000002</v>
      </c>
      <c r="P20" s="5">
        <f>223344-73320</f>
        <v>150024</v>
      </c>
      <c r="Q20" s="5">
        <f t="shared" si="18"/>
        <v>2835453.6</v>
      </c>
      <c r="R20" s="5">
        <v>100</v>
      </c>
      <c r="S20" s="48">
        <f t="shared" si="19"/>
        <v>1.2806772785842802</v>
      </c>
      <c r="T20" s="36">
        <f t="shared" si="20"/>
        <v>52.910052910052904</v>
      </c>
      <c r="W20" s="5" t="s">
        <v>142</v>
      </c>
      <c r="X20" s="5" t="s">
        <v>123</v>
      </c>
      <c r="Y20" s="50">
        <v>0.3</v>
      </c>
      <c r="Z20" s="5">
        <f t="shared" si="21"/>
        <v>27.400000000000002</v>
      </c>
      <c r="AA20" s="5">
        <v>105114</v>
      </c>
      <c r="AB20" s="5">
        <f t="shared" si="22"/>
        <v>2880123.6</v>
      </c>
      <c r="AC20" s="5">
        <v>100</v>
      </c>
      <c r="AD20" s="48">
        <f t="shared" si="23"/>
        <v>1.2608142928310437</v>
      </c>
      <c r="AE20" s="36">
        <f t="shared" si="24"/>
        <v>36.496350364963497</v>
      </c>
    </row>
    <row r="21" spans="1:31" x14ac:dyDescent="0.25">
      <c r="A21" s="5" t="s">
        <v>129</v>
      </c>
      <c r="B21" s="5" t="s">
        <v>50</v>
      </c>
      <c r="C21" s="5">
        <v>0.25</v>
      </c>
      <c r="D21" s="50">
        <f t="shared" si="25"/>
        <v>11.6</v>
      </c>
      <c r="E21" s="5">
        <v>215730</v>
      </c>
      <c r="F21" s="5">
        <f t="shared" si="14"/>
        <v>2502468</v>
      </c>
      <c r="G21" s="5">
        <v>97</v>
      </c>
      <c r="H21" s="48">
        <f t="shared" si="15"/>
        <v>1.1686942650215708</v>
      </c>
      <c r="I21" s="36">
        <f t="shared" si="16"/>
        <v>86.206896551724142</v>
      </c>
      <c r="L21" s="5" t="s">
        <v>154</v>
      </c>
      <c r="M21" s="5" t="s">
        <v>50</v>
      </c>
      <c r="N21" s="5">
        <v>0.25</v>
      </c>
      <c r="O21" s="5">
        <f t="shared" si="17"/>
        <v>19</v>
      </c>
      <c r="P21" s="5">
        <f>P8-92500</f>
        <v>123230</v>
      </c>
      <c r="Q21" s="5">
        <f t="shared" si="18"/>
        <v>2341370</v>
      </c>
      <c r="R21" s="5">
        <v>100</v>
      </c>
      <c r="S21" s="48">
        <f t="shared" si="19"/>
        <v>1.5509300110618998</v>
      </c>
      <c r="T21" s="36">
        <f t="shared" si="20"/>
        <v>52.631578947368418</v>
      </c>
      <c r="W21" s="5" t="s">
        <v>142</v>
      </c>
      <c r="X21" s="5" t="s">
        <v>50</v>
      </c>
      <c r="Y21" s="5">
        <v>0.33</v>
      </c>
      <c r="Z21" s="5">
        <f t="shared" si="21"/>
        <v>28.1</v>
      </c>
      <c r="AA21" s="5">
        <v>68558</v>
      </c>
      <c r="AB21" s="5">
        <f t="shared" si="22"/>
        <v>1926479.8</v>
      </c>
      <c r="AC21" s="5">
        <v>100</v>
      </c>
      <c r="AD21" s="48">
        <f>2294620/AB21</f>
        <v>1.1910947625819901</v>
      </c>
      <c r="AE21" s="36">
        <f t="shared" si="24"/>
        <v>35.587188612099645</v>
      </c>
    </row>
    <row r="22" spans="1:31" x14ac:dyDescent="0.25">
      <c r="A22" s="5" t="s">
        <v>129</v>
      </c>
      <c r="B22" s="5" t="s">
        <v>49</v>
      </c>
      <c r="C22" s="5">
        <v>0.22</v>
      </c>
      <c r="D22" s="50">
        <f t="shared" si="25"/>
        <v>11.2</v>
      </c>
      <c r="E22" s="5">
        <v>189363</v>
      </c>
      <c r="F22" s="5">
        <f t="shared" si="14"/>
        <v>2120865.6</v>
      </c>
      <c r="G22" s="5">
        <v>99</v>
      </c>
      <c r="H22" s="48">
        <f t="shared" si="15"/>
        <v>1.3789746978780739</v>
      </c>
      <c r="I22" s="36">
        <f t="shared" si="16"/>
        <v>89.285714285714292</v>
      </c>
      <c r="L22" s="5" t="s">
        <v>154</v>
      </c>
      <c r="M22" s="5" t="s">
        <v>49</v>
      </c>
      <c r="N22" s="5">
        <v>0.22</v>
      </c>
      <c r="O22" s="5">
        <f t="shared" si="17"/>
        <v>17.7</v>
      </c>
      <c r="P22" s="5">
        <f>P9-64000</f>
        <v>125363</v>
      </c>
      <c r="Q22" s="5">
        <f t="shared" si="18"/>
        <v>2218925.1</v>
      </c>
      <c r="R22" s="5">
        <v>100</v>
      </c>
      <c r="S22" s="48">
        <f>2294620/Q22</f>
        <v>1.0341133191021183</v>
      </c>
      <c r="T22" s="36">
        <f t="shared" si="20"/>
        <v>56.497175141242941</v>
      </c>
      <c r="W22" s="5" t="s">
        <v>142</v>
      </c>
      <c r="X22" s="5" t="s">
        <v>49</v>
      </c>
      <c r="Y22" s="5">
        <v>0.31</v>
      </c>
      <c r="Z22" s="5">
        <f t="shared" si="21"/>
        <v>26.1</v>
      </c>
      <c r="AA22" s="5">
        <v>75203</v>
      </c>
      <c r="AB22" s="5">
        <f t="shared" si="22"/>
        <v>1962798.3</v>
      </c>
      <c r="AC22" s="5">
        <v>100</v>
      </c>
      <c r="AD22" s="48">
        <f>2294620/AB22</f>
        <v>1.1690554245945699</v>
      </c>
      <c r="AE22" s="36">
        <f t="shared" si="24"/>
        <v>38.314176245210724</v>
      </c>
    </row>
    <row r="23" spans="1:31" x14ac:dyDescent="0.25">
      <c r="A23" s="5" t="s">
        <v>129</v>
      </c>
      <c r="B23" s="5" t="s">
        <v>48</v>
      </c>
      <c r="C23" s="5">
        <v>0.26</v>
      </c>
      <c r="D23" s="50">
        <f t="shared" si="25"/>
        <v>11.4</v>
      </c>
      <c r="E23" s="5">
        <v>191760</v>
      </c>
      <c r="F23" s="5">
        <f t="shared" si="14"/>
        <v>2186064</v>
      </c>
      <c r="G23" s="5">
        <v>98</v>
      </c>
      <c r="H23" s="48">
        <f t="shared" si="15"/>
        <v>1.3378473823273243</v>
      </c>
      <c r="I23" s="36">
        <f t="shared" si="16"/>
        <v>87.719298245614027</v>
      </c>
      <c r="L23" s="5" t="s">
        <v>154</v>
      </c>
      <c r="M23" s="5" t="s">
        <v>48</v>
      </c>
      <c r="N23" s="5">
        <v>0.26</v>
      </c>
      <c r="O23" s="5">
        <f t="shared" si="17"/>
        <v>18.400000000000002</v>
      </c>
      <c r="P23" s="5">
        <f>P10-73320</f>
        <v>118440</v>
      </c>
      <c r="Q23" s="5">
        <f t="shared" si="18"/>
        <v>2179296.0000000005</v>
      </c>
      <c r="R23" s="5">
        <v>100</v>
      </c>
      <c r="S23" s="48">
        <f>2294620/Q23</f>
        <v>1.0529180065489037</v>
      </c>
      <c r="T23" s="36">
        <f t="shared" si="20"/>
        <v>54.347826086956516</v>
      </c>
      <c r="W23" s="5" t="s">
        <v>142</v>
      </c>
      <c r="X23" s="5" t="s">
        <v>48</v>
      </c>
      <c r="Y23" s="5">
        <v>0.35</v>
      </c>
      <c r="Z23" s="5">
        <f t="shared" si="21"/>
        <v>28.000000000000004</v>
      </c>
      <c r="AA23" s="5">
        <v>69074</v>
      </c>
      <c r="AB23" s="5">
        <f t="shared" si="22"/>
        <v>1934072.0000000002</v>
      </c>
      <c r="AC23" s="5">
        <v>100</v>
      </c>
      <c r="AD23" s="48">
        <f>2294620/AB23</f>
        <v>1.1864191198673057</v>
      </c>
      <c r="AE23" s="36">
        <f t="shared" si="24"/>
        <v>35.714285714285708</v>
      </c>
    </row>
    <row r="24" spans="1:31" x14ac:dyDescent="0.25">
      <c r="A24" s="5" t="s">
        <v>129</v>
      </c>
      <c r="B24" s="5" t="s">
        <v>47</v>
      </c>
      <c r="C24" s="5">
        <v>0.23</v>
      </c>
      <c r="D24" s="50">
        <f t="shared" si="25"/>
        <v>11.200000000000001</v>
      </c>
      <c r="E24" s="5">
        <v>191760</v>
      </c>
      <c r="F24" s="5">
        <f t="shared" si="14"/>
        <v>2147712</v>
      </c>
      <c r="G24" s="5">
        <v>98</v>
      </c>
      <c r="H24" s="48">
        <f t="shared" si="15"/>
        <v>1.361737514154598</v>
      </c>
      <c r="I24" s="36">
        <f t="shared" si="16"/>
        <v>89.285714285714278</v>
      </c>
      <c r="L24" s="5" t="s">
        <v>154</v>
      </c>
      <c r="M24" s="5" t="s">
        <v>47</v>
      </c>
      <c r="N24" s="5">
        <v>0.23</v>
      </c>
      <c r="O24" s="5">
        <f t="shared" si="17"/>
        <v>18.000000000000004</v>
      </c>
      <c r="P24" s="5">
        <f>P11-73320</f>
        <v>118440</v>
      </c>
      <c r="Q24" s="5">
        <f t="shared" si="18"/>
        <v>2131920.0000000005</v>
      </c>
      <c r="R24" s="5">
        <v>100</v>
      </c>
      <c r="S24" s="48">
        <f>2294620/Q24</f>
        <v>1.0763161844722127</v>
      </c>
      <c r="T24" s="36">
        <f t="shared" si="20"/>
        <v>55.555555555555543</v>
      </c>
      <c r="W24" s="5" t="s">
        <v>142</v>
      </c>
      <c r="X24" s="5" t="s">
        <v>47</v>
      </c>
      <c r="Y24" s="5">
        <v>0.31</v>
      </c>
      <c r="Z24" s="5">
        <f t="shared" si="21"/>
        <v>26.500000000000007</v>
      </c>
      <c r="AA24" s="5">
        <v>69074</v>
      </c>
      <c r="AB24" s="5">
        <f t="shared" si="22"/>
        <v>1830461.0000000005</v>
      </c>
      <c r="AC24" s="5">
        <v>100</v>
      </c>
      <c r="AD24" s="48">
        <f>2294620/AB24</f>
        <v>1.2535749191050776</v>
      </c>
      <c r="AE24" s="36">
        <f t="shared" si="24"/>
        <v>37.735849056603762</v>
      </c>
    </row>
    <row r="25" spans="1:31" x14ac:dyDescent="0.25">
      <c r="A25" s="5" t="s">
        <v>129</v>
      </c>
      <c r="B25" s="5" t="s">
        <v>46</v>
      </c>
      <c r="C25" s="5">
        <v>0.21</v>
      </c>
      <c r="D25" s="50">
        <f t="shared" si="25"/>
        <v>11</v>
      </c>
      <c r="E25" s="5">
        <v>189363</v>
      </c>
      <c r="F25" s="5">
        <f t="shared" si="14"/>
        <v>2082993</v>
      </c>
      <c r="G25" s="5">
        <v>99</v>
      </c>
      <c r="H25" s="48">
        <f t="shared" si="15"/>
        <v>1.4040469651122207</v>
      </c>
      <c r="I25" s="36">
        <f t="shared" si="16"/>
        <v>90.909090909090907</v>
      </c>
      <c r="L25" s="5" t="s">
        <v>154</v>
      </c>
      <c r="M25" s="5" t="s">
        <v>46</v>
      </c>
      <c r="N25" s="5">
        <v>0.21</v>
      </c>
      <c r="O25" s="5">
        <f t="shared" si="17"/>
        <v>17.600000000000001</v>
      </c>
      <c r="P25" s="5">
        <f>P12-64000</f>
        <v>125363</v>
      </c>
      <c r="Q25" s="5">
        <f t="shared" si="18"/>
        <v>2206388.8000000003</v>
      </c>
      <c r="R25" s="5">
        <v>100</v>
      </c>
      <c r="S25" s="48">
        <f>2294620/Q25</f>
        <v>1.0399889629606531</v>
      </c>
      <c r="T25" s="36">
        <f t="shared" si="20"/>
        <v>56.818181818181813</v>
      </c>
      <c r="W25" s="5" t="s">
        <v>142</v>
      </c>
      <c r="X25" s="5" t="s">
        <v>46</v>
      </c>
      <c r="Y25" s="5">
        <v>0.32</v>
      </c>
      <c r="Z25" s="5">
        <f t="shared" si="21"/>
        <v>26.1</v>
      </c>
      <c r="AA25" s="5">
        <v>75203</v>
      </c>
      <c r="AB25" s="5">
        <f t="shared" si="22"/>
        <v>1962798.3</v>
      </c>
      <c r="AC25" s="5">
        <v>100</v>
      </c>
      <c r="AD25" s="48">
        <f>2180000/AB25</f>
        <v>1.1106592052785047</v>
      </c>
      <c r="AE25" s="36">
        <f t="shared" si="24"/>
        <v>38.314176245210724</v>
      </c>
    </row>
    <row r="27" spans="1:31" x14ac:dyDescent="0.25">
      <c r="A27" s="132" t="s">
        <v>149</v>
      </c>
      <c r="B27" s="132"/>
      <c r="C27" s="132"/>
      <c r="D27" s="132"/>
      <c r="E27" s="132"/>
      <c r="F27" s="132"/>
      <c r="G27" s="132"/>
      <c r="H27" s="132"/>
      <c r="I27" s="132"/>
      <c r="L27" s="132" t="s">
        <v>152</v>
      </c>
      <c r="M27" s="132"/>
      <c r="N27" s="132"/>
      <c r="O27" s="132"/>
      <c r="P27" s="132"/>
      <c r="Q27" s="132"/>
      <c r="R27" s="132"/>
      <c r="S27" s="132"/>
      <c r="T27" s="132"/>
      <c r="W27" s="132" t="s">
        <v>163</v>
      </c>
      <c r="X27" s="132"/>
      <c r="Y27" s="132"/>
      <c r="Z27" s="132"/>
      <c r="AA27" s="132"/>
      <c r="AB27" s="132"/>
      <c r="AC27" s="132"/>
      <c r="AD27" s="132"/>
      <c r="AE27" s="132"/>
    </row>
    <row r="28" spans="1:31" x14ac:dyDescent="0.25">
      <c r="A28" s="5" t="s">
        <v>51</v>
      </c>
      <c r="B28" s="5" t="s">
        <v>130</v>
      </c>
      <c r="C28" s="5" t="s">
        <v>131</v>
      </c>
      <c r="D28" s="5" t="s">
        <v>132</v>
      </c>
      <c r="E28" s="5" t="s">
        <v>133</v>
      </c>
      <c r="F28" s="5" t="s">
        <v>134</v>
      </c>
      <c r="G28" s="5" t="s">
        <v>139</v>
      </c>
      <c r="H28" s="5" t="s">
        <v>140</v>
      </c>
      <c r="I28" s="5" t="s">
        <v>136</v>
      </c>
      <c r="L28" s="5" t="s">
        <v>51</v>
      </c>
      <c r="M28" s="5" t="s">
        <v>130</v>
      </c>
      <c r="N28" s="5" t="s">
        <v>131</v>
      </c>
      <c r="O28" s="5" t="s">
        <v>132</v>
      </c>
      <c r="P28" s="5" t="s">
        <v>133</v>
      </c>
      <c r="Q28" s="5" t="s">
        <v>134</v>
      </c>
      <c r="R28" s="5" t="s">
        <v>139</v>
      </c>
      <c r="S28" s="5" t="s">
        <v>140</v>
      </c>
      <c r="T28" s="5" t="s">
        <v>136</v>
      </c>
      <c r="V28" s="36"/>
      <c r="W28" s="5" t="s">
        <v>51</v>
      </c>
      <c r="X28" s="5" t="s">
        <v>130</v>
      </c>
      <c r="Y28" s="5" t="s">
        <v>131</v>
      </c>
      <c r="Z28" s="5" t="s">
        <v>132</v>
      </c>
      <c r="AA28" s="5" t="s">
        <v>133</v>
      </c>
      <c r="AB28" s="5" t="s">
        <v>134</v>
      </c>
      <c r="AC28" s="5" t="s">
        <v>139</v>
      </c>
      <c r="AD28" s="5" t="s">
        <v>140</v>
      </c>
      <c r="AE28" s="5" t="s">
        <v>136</v>
      </c>
    </row>
    <row r="29" spans="1:31" x14ac:dyDescent="0.25">
      <c r="A29" s="5" t="s">
        <v>138</v>
      </c>
      <c r="B29" s="5" t="s">
        <v>119</v>
      </c>
      <c r="C29" s="50">
        <v>0.23</v>
      </c>
      <c r="D29" s="50">
        <f>(C29*10)+D16</f>
        <v>13.8</v>
      </c>
      <c r="E29" s="5">
        <v>226800</v>
      </c>
      <c r="F29" s="5">
        <f>E29*D29</f>
        <v>3129840</v>
      </c>
      <c r="G29" s="5">
        <v>98</v>
      </c>
      <c r="H29" s="48">
        <f>3631301/F29</f>
        <v>1.1602193722362804</v>
      </c>
      <c r="I29" s="36">
        <f>1000/D29</f>
        <v>72.463768115942031</v>
      </c>
      <c r="L29" s="5" t="s">
        <v>155</v>
      </c>
      <c r="M29" s="5" t="s">
        <v>119</v>
      </c>
      <c r="N29" s="5">
        <v>0.23</v>
      </c>
      <c r="O29" s="5">
        <f>(N29*10)+O16</f>
        <v>21.000000000000004</v>
      </c>
      <c r="P29" s="36">
        <f>P16-'Padat Tebar dan Panen'!S4</f>
        <v>162800</v>
      </c>
      <c r="Q29" s="5">
        <f>P29*O29</f>
        <v>3418800.0000000005</v>
      </c>
      <c r="R29" s="5">
        <v>100</v>
      </c>
      <c r="S29" s="48">
        <f>2924260/Q29</f>
        <v>0.85534690534690527</v>
      </c>
      <c r="T29" s="36">
        <f>1000/O29</f>
        <v>47.619047619047613</v>
      </c>
      <c r="V29" s="36"/>
      <c r="W29" s="5" t="s">
        <v>142</v>
      </c>
      <c r="X29" s="5" t="s">
        <v>119</v>
      </c>
      <c r="Y29" s="5">
        <v>0.31</v>
      </c>
      <c r="Z29" s="5">
        <f>(Y29*10)+Z16</f>
        <v>30.300000000000008</v>
      </c>
      <c r="AA29" s="5">
        <v>106420</v>
      </c>
      <c r="AB29" s="5">
        <f>Z29*AA29</f>
        <v>3224526.0000000009</v>
      </c>
      <c r="AC29" s="5">
        <v>100</v>
      </c>
      <c r="AD29" s="48">
        <f>3931301/AB29</f>
        <v>1.2191872541886772</v>
      </c>
      <c r="AE29" s="36">
        <f>1000/Z29</f>
        <v>33.003300330032992</v>
      </c>
    </row>
    <row r="30" spans="1:31" x14ac:dyDescent="0.25">
      <c r="A30" s="5" t="s">
        <v>138</v>
      </c>
      <c r="B30" s="5" t="s">
        <v>120</v>
      </c>
      <c r="C30" s="5">
        <v>0.22</v>
      </c>
      <c r="D30" s="50">
        <f t="shared" ref="D30:D38" si="26">(C30*10)+D17</f>
        <v>13.100000000000001</v>
      </c>
      <c r="E30" s="5">
        <v>226800</v>
      </c>
      <c r="F30" s="5">
        <f t="shared" ref="F30:F38" si="27">E30*D30</f>
        <v>2971080.0000000005</v>
      </c>
      <c r="G30" s="5">
        <v>97</v>
      </c>
      <c r="H30" s="48">
        <f t="shared" ref="H30:H38" si="28">3631301/F30</f>
        <v>1.2222158272412724</v>
      </c>
      <c r="I30" s="36">
        <f t="shared" ref="I30:I38" si="29">1000/D30</f>
        <v>76.33587786259541</v>
      </c>
      <c r="L30" s="5" t="s">
        <v>155</v>
      </c>
      <c r="M30" s="5" t="s">
        <v>120</v>
      </c>
      <c r="N30" s="5">
        <v>0.21</v>
      </c>
      <c r="O30" s="5">
        <f t="shared" ref="O30:O38" si="30">(N30*10)+O17</f>
        <v>19.400000000000002</v>
      </c>
      <c r="P30" s="36">
        <f>P17-'Padat Tebar dan Panen'!S5</f>
        <v>150024</v>
      </c>
      <c r="Q30" s="5">
        <f t="shared" ref="Q30:Q38" si="31">P30*O30</f>
        <v>2910465.6</v>
      </c>
      <c r="R30" s="5">
        <v>100</v>
      </c>
      <c r="S30" s="48">
        <f t="shared" ref="S30:S33" si="32">2924260/Q30</f>
        <v>1.0047395853089622</v>
      </c>
      <c r="T30" s="36">
        <f t="shared" ref="T30:T38" si="33">1000/O30</f>
        <v>51.546391752577314</v>
      </c>
      <c r="V30" s="36"/>
      <c r="W30" s="5" t="s">
        <v>142</v>
      </c>
      <c r="X30" s="5" t="s">
        <v>120</v>
      </c>
      <c r="Y30" s="5">
        <v>0.33</v>
      </c>
      <c r="Z30" s="5">
        <f t="shared" ref="Z30:Z38" si="34">(Y30*10)+Z17</f>
        <v>29.300000000000004</v>
      </c>
      <c r="AA30" s="5">
        <v>105114</v>
      </c>
      <c r="AB30" s="5">
        <f t="shared" ref="AB30:AB38" si="35">Z30*AA30</f>
        <v>3079840.2000000007</v>
      </c>
      <c r="AC30" s="5">
        <v>100</v>
      </c>
      <c r="AD30" s="48">
        <f t="shared" ref="AD30:AD33" si="36">3931301/AB30</f>
        <v>1.2764626554325771</v>
      </c>
      <c r="AE30" s="36">
        <f t="shared" ref="AE30:AE38" si="37">1000/Z30</f>
        <v>34.129692832764498</v>
      </c>
    </row>
    <row r="31" spans="1:31" x14ac:dyDescent="0.25">
      <c r="A31" s="5" t="s">
        <v>138</v>
      </c>
      <c r="B31" s="5" t="s">
        <v>121</v>
      </c>
      <c r="C31" s="5">
        <v>0.23</v>
      </c>
      <c r="D31" s="50">
        <f t="shared" si="26"/>
        <v>13.100000000000001</v>
      </c>
      <c r="E31" s="5">
        <v>226800</v>
      </c>
      <c r="F31" s="5">
        <f t="shared" si="27"/>
        <v>2971080.0000000005</v>
      </c>
      <c r="G31" s="5">
        <v>98</v>
      </c>
      <c r="H31" s="48">
        <f t="shared" si="28"/>
        <v>1.2222158272412724</v>
      </c>
      <c r="I31" s="36">
        <f t="shared" si="29"/>
        <v>76.33587786259541</v>
      </c>
      <c r="L31" s="5" t="s">
        <v>155</v>
      </c>
      <c r="M31" s="5" t="s">
        <v>121</v>
      </c>
      <c r="N31" s="5">
        <v>0.24</v>
      </c>
      <c r="O31" s="5">
        <f t="shared" si="30"/>
        <v>20.2</v>
      </c>
      <c r="P31" s="36">
        <f>P18-'Padat Tebar dan Panen'!S6</f>
        <v>154314</v>
      </c>
      <c r="Q31" s="5">
        <f t="shared" si="31"/>
        <v>3117142.8</v>
      </c>
      <c r="R31" s="5">
        <v>100</v>
      </c>
      <c r="S31" s="48">
        <f t="shared" si="32"/>
        <v>0.93812192370525993</v>
      </c>
      <c r="T31" s="36">
        <f t="shared" si="33"/>
        <v>49.504950495049506</v>
      </c>
      <c r="V31" s="36"/>
      <c r="W31" s="5" t="s">
        <v>142</v>
      </c>
      <c r="X31" s="5" t="s">
        <v>121</v>
      </c>
      <c r="Y31" s="5">
        <v>0.34</v>
      </c>
      <c r="Z31" s="5">
        <f t="shared" si="34"/>
        <v>30.4</v>
      </c>
      <c r="AA31" s="5">
        <v>106410</v>
      </c>
      <c r="AB31" s="5">
        <f t="shared" si="35"/>
        <v>3234864</v>
      </c>
      <c r="AC31" s="5">
        <v>100</v>
      </c>
      <c r="AD31" s="48">
        <f t="shared" si="36"/>
        <v>1.2152909674100674</v>
      </c>
      <c r="AE31" s="36">
        <f t="shared" si="37"/>
        <v>32.894736842105267</v>
      </c>
    </row>
    <row r="32" spans="1:31" x14ac:dyDescent="0.25">
      <c r="A32" s="5" t="s">
        <v>138</v>
      </c>
      <c r="B32" s="5" t="s">
        <v>122</v>
      </c>
      <c r="C32" s="5">
        <v>0.21</v>
      </c>
      <c r="D32" s="50">
        <f t="shared" si="26"/>
        <v>12.999999999999998</v>
      </c>
      <c r="E32" s="5">
        <v>226800</v>
      </c>
      <c r="F32" s="5">
        <f t="shared" si="27"/>
        <v>2948399.9999999995</v>
      </c>
      <c r="G32" s="5">
        <v>99</v>
      </c>
      <c r="H32" s="48">
        <f t="shared" si="28"/>
        <v>1.231617487450821</v>
      </c>
      <c r="I32" s="36">
        <f t="shared" si="29"/>
        <v>76.923076923076934</v>
      </c>
      <c r="L32" s="5" t="s">
        <v>155</v>
      </c>
      <c r="M32" s="5" t="s">
        <v>122</v>
      </c>
      <c r="N32" s="5">
        <v>0.22</v>
      </c>
      <c r="O32" s="5">
        <f t="shared" si="30"/>
        <v>20.2</v>
      </c>
      <c r="P32" s="36">
        <f>P19-'Padat Tebar dan Panen'!S7</f>
        <v>145512</v>
      </c>
      <c r="Q32" s="5">
        <f t="shared" si="31"/>
        <v>2939342.4</v>
      </c>
      <c r="R32" s="5">
        <v>100</v>
      </c>
      <c r="S32" s="48">
        <f t="shared" si="32"/>
        <v>0.99486878425596148</v>
      </c>
      <c r="T32" s="36">
        <f t="shared" si="33"/>
        <v>49.504950495049506</v>
      </c>
      <c r="V32" s="36"/>
      <c r="W32" s="5" t="s">
        <v>142</v>
      </c>
      <c r="X32" s="5" t="s">
        <v>122</v>
      </c>
      <c r="Y32" s="5">
        <v>0.28000000000000003</v>
      </c>
      <c r="Z32" s="5">
        <f t="shared" si="34"/>
        <v>28.6</v>
      </c>
      <c r="AA32" s="5">
        <v>100602</v>
      </c>
      <c r="AB32" s="5">
        <f t="shared" si="35"/>
        <v>2877217.2</v>
      </c>
      <c r="AC32" s="5">
        <v>100</v>
      </c>
      <c r="AD32" s="48">
        <f t="shared" si="36"/>
        <v>1.366355310262986</v>
      </c>
      <c r="AE32" s="36">
        <f t="shared" si="37"/>
        <v>34.965034965034967</v>
      </c>
    </row>
    <row r="33" spans="1:36" x14ac:dyDescent="0.25">
      <c r="A33" s="5" t="s">
        <v>138</v>
      </c>
      <c r="B33" s="5" t="s">
        <v>123</v>
      </c>
      <c r="C33" s="5">
        <v>0.24</v>
      </c>
      <c r="D33" s="50">
        <f t="shared" si="26"/>
        <v>13.600000000000001</v>
      </c>
      <c r="E33" s="5">
        <v>226800</v>
      </c>
      <c r="F33" s="5">
        <f t="shared" si="27"/>
        <v>3084480.0000000005</v>
      </c>
      <c r="G33" s="5">
        <v>97</v>
      </c>
      <c r="H33" s="48">
        <f t="shared" si="28"/>
        <v>1.1772814218279903</v>
      </c>
      <c r="I33" s="36">
        <f t="shared" si="29"/>
        <v>73.52941176470587</v>
      </c>
      <c r="L33" s="5" t="s">
        <v>155</v>
      </c>
      <c r="M33" s="5" t="s">
        <v>123</v>
      </c>
      <c r="N33" s="5">
        <v>0.25</v>
      </c>
      <c r="O33" s="5">
        <f t="shared" si="30"/>
        <v>21.400000000000002</v>
      </c>
      <c r="P33" s="36">
        <f>P20-'Padat Tebar dan Panen'!S8</f>
        <v>150024</v>
      </c>
      <c r="Q33" s="5">
        <f t="shared" si="31"/>
        <v>3210513.6</v>
      </c>
      <c r="R33" s="5">
        <v>100</v>
      </c>
      <c r="S33" s="48">
        <f t="shared" si="32"/>
        <v>0.91083868948569469</v>
      </c>
      <c r="T33" s="36">
        <f t="shared" si="33"/>
        <v>46.728971962616818</v>
      </c>
      <c r="V33" s="36"/>
      <c r="W33" s="5" t="s">
        <v>142</v>
      </c>
      <c r="X33" s="5" t="s">
        <v>123</v>
      </c>
      <c r="Y33" s="50">
        <v>0.3</v>
      </c>
      <c r="Z33" s="5">
        <f t="shared" si="34"/>
        <v>30.400000000000002</v>
      </c>
      <c r="AA33" s="5">
        <v>105114</v>
      </c>
      <c r="AB33" s="5">
        <f t="shared" si="35"/>
        <v>3195465.6</v>
      </c>
      <c r="AC33" s="5">
        <v>100</v>
      </c>
      <c r="AD33" s="48">
        <f t="shared" si="36"/>
        <v>1.2302748619794248</v>
      </c>
      <c r="AE33" s="36">
        <f t="shared" si="37"/>
        <v>32.89473684210526</v>
      </c>
    </row>
    <row r="34" spans="1:36" x14ac:dyDescent="0.25">
      <c r="A34" s="5" t="s">
        <v>138</v>
      </c>
      <c r="B34" s="5" t="s">
        <v>50</v>
      </c>
      <c r="C34" s="5">
        <v>0.22</v>
      </c>
      <c r="D34" s="50">
        <f t="shared" si="26"/>
        <v>13.8</v>
      </c>
      <c r="E34" s="5">
        <v>215730</v>
      </c>
      <c r="F34" s="5">
        <f t="shared" si="27"/>
        <v>2977074</v>
      </c>
      <c r="G34" s="5">
        <v>99</v>
      </c>
      <c r="H34" s="48">
        <f t="shared" si="28"/>
        <v>1.2197550346413961</v>
      </c>
      <c r="I34" s="36">
        <f t="shared" si="29"/>
        <v>72.463768115942031</v>
      </c>
      <c r="L34" s="5" t="s">
        <v>155</v>
      </c>
      <c r="M34" s="5" t="s">
        <v>50</v>
      </c>
      <c r="N34" s="5">
        <v>0.25</v>
      </c>
      <c r="O34" s="5">
        <f t="shared" si="30"/>
        <v>21.5</v>
      </c>
      <c r="P34" s="36">
        <f>P21-'Padat Tebar dan Panen'!S9</f>
        <v>123230</v>
      </c>
      <c r="Q34" s="5">
        <f t="shared" si="31"/>
        <v>2649445</v>
      </c>
      <c r="R34" s="5">
        <v>100</v>
      </c>
      <c r="S34" s="48">
        <f>2294260/Q34</f>
        <v>0.86593984777944055</v>
      </c>
      <c r="T34" s="36">
        <f t="shared" si="33"/>
        <v>46.511627906976742</v>
      </c>
      <c r="V34" s="36"/>
      <c r="W34" s="5" t="s">
        <v>142</v>
      </c>
      <c r="X34" s="5" t="s">
        <v>50</v>
      </c>
      <c r="Y34" s="5">
        <v>0.33</v>
      </c>
      <c r="Z34" s="5">
        <f t="shared" si="34"/>
        <v>31.400000000000002</v>
      </c>
      <c r="AA34" s="5">
        <v>68558</v>
      </c>
      <c r="AB34" s="5">
        <f t="shared" si="35"/>
        <v>2152721.2000000002</v>
      </c>
      <c r="AC34" s="5">
        <v>100</v>
      </c>
      <c r="AD34" s="48">
        <f>3631301/AB34</f>
        <v>1.6868422162609815</v>
      </c>
      <c r="AE34" s="36">
        <f t="shared" si="37"/>
        <v>31.847133757961782</v>
      </c>
    </row>
    <row r="35" spans="1:36" x14ac:dyDescent="0.25">
      <c r="A35" s="5" t="s">
        <v>138</v>
      </c>
      <c r="B35" s="5" t="s">
        <v>49</v>
      </c>
      <c r="C35" s="5">
        <v>0.21</v>
      </c>
      <c r="D35" s="50">
        <f t="shared" si="26"/>
        <v>13.299999999999999</v>
      </c>
      <c r="E35" s="5">
        <v>189363</v>
      </c>
      <c r="F35" s="5">
        <f t="shared" si="27"/>
        <v>2518527.9</v>
      </c>
      <c r="G35" s="5">
        <v>97</v>
      </c>
      <c r="H35" s="48">
        <f t="shared" si="28"/>
        <v>1.4418347321067995</v>
      </c>
      <c r="I35" s="36">
        <f t="shared" si="29"/>
        <v>75.187969924812037</v>
      </c>
      <c r="L35" s="5" t="s">
        <v>155</v>
      </c>
      <c r="M35" s="5" t="s">
        <v>49</v>
      </c>
      <c r="N35" s="5">
        <v>0.22</v>
      </c>
      <c r="O35" s="5">
        <f t="shared" si="30"/>
        <v>19.899999999999999</v>
      </c>
      <c r="P35" s="36">
        <f>P22-'Padat Tebar dan Panen'!S10</f>
        <v>125363</v>
      </c>
      <c r="Q35" s="5">
        <f t="shared" si="31"/>
        <v>2494723.6999999997</v>
      </c>
      <c r="R35" s="5">
        <v>100</v>
      </c>
      <c r="S35" s="48">
        <f t="shared" ref="S35:S38" si="38">2294260/Q35</f>
        <v>0.91964492901558603</v>
      </c>
      <c r="T35" s="36">
        <f t="shared" si="33"/>
        <v>50.251256281407038</v>
      </c>
      <c r="V35" s="36"/>
      <c r="W35" s="5" t="s">
        <v>142</v>
      </c>
      <c r="X35" s="5" t="s">
        <v>49</v>
      </c>
      <c r="Y35" s="5">
        <v>0.31</v>
      </c>
      <c r="Z35" s="5">
        <f t="shared" si="34"/>
        <v>29.200000000000003</v>
      </c>
      <c r="AA35" s="5">
        <v>75203</v>
      </c>
      <c r="AB35" s="5">
        <f t="shared" si="35"/>
        <v>2195927.6</v>
      </c>
      <c r="AC35" s="5">
        <v>100</v>
      </c>
      <c r="AD35" s="48">
        <f t="shared" ref="AD35:AD38" si="39">3631301/AB35</f>
        <v>1.6536524246063484</v>
      </c>
      <c r="AE35" s="36">
        <f t="shared" si="37"/>
        <v>34.246575342465754</v>
      </c>
    </row>
    <row r="36" spans="1:36" x14ac:dyDescent="0.25">
      <c r="A36" s="5" t="s">
        <v>138</v>
      </c>
      <c r="B36" s="5" t="s">
        <v>48</v>
      </c>
      <c r="C36" s="5">
        <v>0.22</v>
      </c>
      <c r="D36" s="50">
        <f t="shared" si="26"/>
        <v>13.600000000000001</v>
      </c>
      <c r="E36" s="5">
        <v>191760</v>
      </c>
      <c r="F36" s="5">
        <f t="shared" si="27"/>
        <v>2607936.0000000005</v>
      </c>
      <c r="G36" s="5">
        <v>98</v>
      </c>
      <c r="H36" s="48">
        <f t="shared" si="28"/>
        <v>1.3924041847652702</v>
      </c>
      <c r="I36" s="36">
        <f t="shared" si="29"/>
        <v>73.52941176470587</v>
      </c>
      <c r="L36" s="5" t="s">
        <v>155</v>
      </c>
      <c r="M36" s="5" t="s">
        <v>48</v>
      </c>
      <c r="N36" s="5">
        <v>0.26</v>
      </c>
      <c r="O36" s="5">
        <f t="shared" si="30"/>
        <v>21.000000000000004</v>
      </c>
      <c r="P36" s="36">
        <f>P23-'Padat Tebar dan Panen'!S11</f>
        <v>118440</v>
      </c>
      <c r="Q36" s="5">
        <f t="shared" si="31"/>
        <v>2487240.0000000005</v>
      </c>
      <c r="R36" s="5">
        <v>100</v>
      </c>
      <c r="S36" s="48">
        <f t="shared" si="38"/>
        <v>0.92241199080104841</v>
      </c>
      <c r="T36" s="36">
        <f t="shared" si="33"/>
        <v>47.619047619047613</v>
      </c>
      <c r="V36" s="36"/>
      <c r="W36" s="5" t="s">
        <v>142</v>
      </c>
      <c r="X36" s="5" t="s">
        <v>48</v>
      </c>
      <c r="Y36" s="5">
        <v>0.35</v>
      </c>
      <c r="Z36" s="5">
        <f t="shared" si="34"/>
        <v>31.500000000000004</v>
      </c>
      <c r="AA36" s="5">
        <v>69074</v>
      </c>
      <c r="AB36" s="5">
        <f t="shared" si="35"/>
        <v>2175831.0000000005</v>
      </c>
      <c r="AC36" s="5">
        <v>100</v>
      </c>
      <c r="AD36" s="48">
        <f t="shared" si="39"/>
        <v>1.6689260333178446</v>
      </c>
      <c r="AE36" s="36">
        <f t="shared" si="37"/>
        <v>31.746031746031743</v>
      </c>
    </row>
    <row r="37" spans="1:36" x14ac:dyDescent="0.25">
      <c r="A37" s="5" t="s">
        <v>138</v>
      </c>
      <c r="B37" s="5" t="s">
        <v>47</v>
      </c>
      <c r="C37" s="5">
        <v>0.22</v>
      </c>
      <c r="D37" s="50">
        <f t="shared" si="26"/>
        <v>13.400000000000002</v>
      </c>
      <c r="E37" s="5">
        <v>191760</v>
      </c>
      <c r="F37" s="5">
        <f t="shared" si="27"/>
        <v>2569584.0000000005</v>
      </c>
      <c r="G37" s="5">
        <v>98</v>
      </c>
      <c r="H37" s="48">
        <f t="shared" si="28"/>
        <v>1.4131863367766919</v>
      </c>
      <c r="I37" s="36">
        <f t="shared" si="29"/>
        <v>74.626865671641781</v>
      </c>
      <c r="L37" s="5" t="s">
        <v>155</v>
      </c>
      <c r="M37" s="5" t="s">
        <v>47</v>
      </c>
      <c r="N37" s="5">
        <v>0.23</v>
      </c>
      <c r="O37" s="5">
        <f t="shared" si="30"/>
        <v>20.300000000000004</v>
      </c>
      <c r="P37" s="36">
        <f>P24-'Padat Tebar dan Panen'!S12</f>
        <v>118440</v>
      </c>
      <c r="Q37" s="5">
        <f t="shared" si="31"/>
        <v>2404332.0000000005</v>
      </c>
      <c r="R37" s="5">
        <v>100</v>
      </c>
      <c r="S37" s="48">
        <f t="shared" si="38"/>
        <v>0.95421930082867068</v>
      </c>
      <c r="T37" s="36">
        <f t="shared" si="33"/>
        <v>49.261083743842356</v>
      </c>
      <c r="V37" s="36"/>
      <c r="W37" s="5" t="s">
        <v>142</v>
      </c>
      <c r="X37" s="5" t="s">
        <v>47</v>
      </c>
      <c r="Y37" s="5">
        <v>0.31</v>
      </c>
      <c r="Z37" s="5">
        <f t="shared" si="34"/>
        <v>29.600000000000009</v>
      </c>
      <c r="AA37" s="5">
        <v>69074</v>
      </c>
      <c r="AB37" s="5">
        <f t="shared" si="35"/>
        <v>2044590.4000000006</v>
      </c>
      <c r="AC37" s="5">
        <v>100</v>
      </c>
      <c r="AD37" s="48">
        <f>3631301/AB37</f>
        <v>1.7760530422132468</v>
      </c>
      <c r="AE37" s="36">
        <f t="shared" si="37"/>
        <v>33.783783783783775</v>
      </c>
    </row>
    <row r="38" spans="1:36" x14ac:dyDescent="0.25">
      <c r="A38" s="5" t="s">
        <v>138</v>
      </c>
      <c r="B38" s="5" t="s">
        <v>46</v>
      </c>
      <c r="C38" s="5">
        <v>0.21</v>
      </c>
      <c r="D38" s="50">
        <f t="shared" si="26"/>
        <v>13.1</v>
      </c>
      <c r="E38" s="5">
        <v>189363</v>
      </c>
      <c r="F38" s="5">
        <f t="shared" si="27"/>
        <v>2480655.2999999998</v>
      </c>
      <c r="G38" s="5">
        <v>97</v>
      </c>
      <c r="H38" s="48">
        <f t="shared" si="28"/>
        <v>1.4638474761084299</v>
      </c>
      <c r="I38" s="36">
        <f t="shared" si="29"/>
        <v>76.335877862595424</v>
      </c>
      <c r="L38" s="5" t="s">
        <v>155</v>
      </c>
      <c r="M38" s="5" t="s">
        <v>46</v>
      </c>
      <c r="N38" s="5">
        <v>0.21</v>
      </c>
      <c r="O38" s="5">
        <f t="shared" si="30"/>
        <v>19.700000000000003</v>
      </c>
      <c r="P38" s="36">
        <f>P25-'Padat Tebar dan Panen'!S13</f>
        <v>125363</v>
      </c>
      <c r="Q38" s="5">
        <f t="shared" si="31"/>
        <v>2469651.1000000006</v>
      </c>
      <c r="R38" s="5">
        <v>100</v>
      </c>
      <c r="S38" s="48">
        <f t="shared" si="38"/>
        <v>0.92898142575686071</v>
      </c>
      <c r="T38" s="36">
        <f t="shared" si="33"/>
        <v>50.761421319796945</v>
      </c>
      <c r="W38" s="5" t="s">
        <v>142</v>
      </c>
      <c r="X38" s="5" t="s">
        <v>46</v>
      </c>
      <c r="Y38" s="5">
        <v>0.32</v>
      </c>
      <c r="Z38" s="5">
        <f t="shared" si="34"/>
        <v>29.3</v>
      </c>
      <c r="AA38" s="5">
        <v>75203</v>
      </c>
      <c r="AB38" s="5">
        <f t="shared" si="35"/>
        <v>2203447.9</v>
      </c>
      <c r="AC38" s="5">
        <v>100</v>
      </c>
      <c r="AD38" s="48">
        <f t="shared" si="39"/>
        <v>1.6480085596759515</v>
      </c>
      <c r="AE38" s="36">
        <f t="shared" si="37"/>
        <v>34.129692832764505</v>
      </c>
    </row>
    <row r="41" spans="1:36" x14ac:dyDescent="0.25">
      <c r="F41" s="5">
        <v>252000</v>
      </c>
    </row>
    <row r="43" spans="1:36" x14ac:dyDescent="0.25">
      <c r="A43" s="2"/>
      <c r="B43" s="2"/>
      <c r="D43" s="2"/>
      <c r="E43" s="2"/>
      <c r="G43" s="2"/>
      <c r="H43" s="2"/>
      <c r="J43" s="2"/>
      <c r="K43" s="2"/>
      <c r="M43" s="2"/>
      <c r="N43" s="2"/>
    </row>
    <row r="44" spans="1:36" x14ac:dyDescent="0.25">
      <c r="A44" s="5" t="s">
        <v>187</v>
      </c>
      <c r="B44" s="5" t="s">
        <v>57</v>
      </c>
      <c r="C44" s="5" t="s">
        <v>119</v>
      </c>
      <c r="D44" s="5" t="s">
        <v>120</v>
      </c>
      <c r="E44" s="5" t="s">
        <v>121</v>
      </c>
      <c r="F44" s="5" t="s">
        <v>122</v>
      </c>
      <c r="G44" s="5" t="s">
        <v>123</v>
      </c>
      <c r="H44" s="5" t="s">
        <v>50</v>
      </c>
      <c r="I44" s="5" t="s">
        <v>49</v>
      </c>
      <c r="J44" s="5" t="s">
        <v>48</v>
      </c>
      <c r="K44" s="5" t="s">
        <v>47</v>
      </c>
      <c r="L44" s="5" t="s">
        <v>46</v>
      </c>
      <c r="M44" s="5" t="s">
        <v>187</v>
      </c>
      <c r="N44" s="5" t="s">
        <v>119</v>
      </c>
      <c r="O44" s="5" t="s">
        <v>120</v>
      </c>
      <c r="P44" s="5" t="s">
        <v>121</v>
      </c>
      <c r="Q44" s="5" t="s">
        <v>122</v>
      </c>
      <c r="R44" s="5" t="s">
        <v>123</v>
      </c>
      <c r="S44" s="5" t="s">
        <v>50</v>
      </c>
      <c r="T44" s="5" t="s">
        <v>49</v>
      </c>
      <c r="U44" s="5" t="s">
        <v>48</v>
      </c>
      <c r="V44" s="5" t="s">
        <v>47</v>
      </c>
      <c r="W44" s="5" t="s">
        <v>46</v>
      </c>
      <c r="Y44" s="5" t="s">
        <v>187</v>
      </c>
      <c r="Z44" s="5" t="s">
        <v>57</v>
      </c>
      <c r="AA44" s="5" t="s">
        <v>119</v>
      </c>
      <c r="AB44" s="5" t="s">
        <v>120</v>
      </c>
      <c r="AC44" s="5" t="s">
        <v>121</v>
      </c>
      <c r="AD44" s="5" t="s">
        <v>122</v>
      </c>
      <c r="AE44" s="5" t="s">
        <v>123</v>
      </c>
      <c r="AF44" s="5" t="s">
        <v>50</v>
      </c>
      <c r="AG44" s="5" t="s">
        <v>49</v>
      </c>
      <c r="AH44" s="5" t="s">
        <v>48</v>
      </c>
      <c r="AI44" s="5" t="s">
        <v>47</v>
      </c>
      <c r="AJ44" s="5" t="s">
        <v>46</v>
      </c>
    </row>
    <row r="45" spans="1:36" x14ac:dyDescent="0.25">
      <c r="A45" s="5">
        <v>1</v>
      </c>
      <c r="B45" s="5">
        <v>35</v>
      </c>
      <c r="C45" s="50">
        <v>0.19</v>
      </c>
      <c r="D45" s="5">
        <v>0.15</v>
      </c>
      <c r="E45" s="5">
        <v>0.11</v>
      </c>
      <c r="F45" s="5">
        <v>0.14000000000000001</v>
      </c>
      <c r="G45" s="5">
        <v>0.15</v>
      </c>
      <c r="H45" s="5">
        <v>0.18</v>
      </c>
      <c r="I45" s="5">
        <v>0.17</v>
      </c>
      <c r="J45" s="5">
        <v>0.15</v>
      </c>
      <c r="K45" s="5">
        <v>0.16</v>
      </c>
      <c r="L45" s="5">
        <v>0.16</v>
      </c>
      <c r="M45" s="5">
        <v>1</v>
      </c>
      <c r="N45" s="5">
        <v>8.1999999999999993</v>
      </c>
      <c r="O45" s="5">
        <v>7.8</v>
      </c>
      <c r="P45" s="5">
        <v>7.4</v>
      </c>
      <c r="Q45" s="5">
        <v>7.7</v>
      </c>
      <c r="R45" s="5">
        <v>7.8</v>
      </c>
      <c r="S45" s="5">
        <v>8.1</v>
      </c>
      <c r="T45" s="5">
        <v>8</v>
      </c>
      <c r="U45" s="5">
        <v>7.8</v>
      </c>
      <c r="V45" s="5">
        <v>7.9</v>
      </c>
      <c r="W45" s="5">
        <v>7.9</v>
      </c>
      <c r="Y45" s="5">
        <v>1</v>
      </c>
      <c r="Z45" s="5">
        <v>35</v>
      </c>
      <c r="AA45" s="5">
        <v>100</v>
      </c>
      <c r="AB45" s="5">
        <v>100</v>
      </c>
      <c r="AC45" s="5">
        <v>100</v>
      </c>
      <c r="AD45" s="5">
        <v>100</v>
      </c>
      <c r="AE45" s="5">
        <v>100</v>
      </c>
      <c r="AF45" s="5">
        <v>85</v>
      </c>
      <c r="AG45" s="5">
        <v>85</v>
      </c>
      <c r="AH45" s="5">
        <v>85</v>
      </c>
      <c r="AI45" s="5">
        <v>85</v>
      </c>
      <c r="AJ45" s="5">
        <v>85</v>
      </c>
    </row>
    <row r="46" spans="1:36" x14ac:dyDescent="0.25">
      <c r="A46" s="5">
        <v>2</v>
      </c>
      <c r="B46" s="5">
        <v>45</v>
      </c>
      <c r="C46" s="50">
        <v>0.25</v>
      </c>
      <c r="D46" s="5">
        <v>0.21</v>
      </c>
      <c r="E46" s="5">
        <v>0.24</v>
      </c>
      <c r="F46" s="5">
        <v>0.22</v>
      </c>
      <c r="G46" s="5">
        <v>0.18</v>
      </c>
      <c r="H46" s="5">
        <v>0.25</v>
      </c>
      <c r="I46" s="5">
        <v>0.22</v>
      </c>
      <c r="J46" s="5">
        <v>0.26</v>
      </c>
      <c r="K46" s="5">
        <v>0.23</v>
      </c>
      <c r="L46" s="5">
        <v>0.21</v>
      </c>
      <c r="M46" s="5">
        <v>2</v>
      </c>
      <c r="N46" s="5">
        <v>10.5</v>
      </c>
      <c r="O46" s="5">
        <v>9.9</v>
      </c>
      <c r="P46" s="5">
        <v>9.8000000000000007</v>
      </c>
      <c r="Q46" s="5">
        <v>9.9</v>
      </c>
      <c r="R46" s="5">
        <v>9.6</v>
      </c>
      <c r="S46" s="5">
        <v>10.6</v>
      </c>
      <c r="T46" s="5">
        <v>10.199999999999999</v>
      </c>
      <c r="U46" s="5">
        <v>10.4</v>
      </c>
      <c r="V46" s="5">
        <v>10.199999999999999</v>
      </c>
      <c r="W46" s="5">
        <v>10</v>
      </c>
      <c r="Y46" s="5">
        <v>2</v>
      </c>
      <c r="Z46" s="5">
        <v>45</v>
      </c>
      <c r="AA46" s="5">
        <v>98</v>
      </c>
      <c r="AB46" s="5">
        <v>99</v>
      </c>
      <c r="AC46" s="5">
        <v>98</v>
      </c>
      <c r="AD46" s="5">
        <v>97</v>
      </c>
      <c r="AE46" s="5">
        <v>99</v>
      </c>
      <c r="AF46" s="5">
        <v>97</v>
      </c>
      <c r="AG46" s="5">
        <v>99</v>
      </c>
      <c r="AH46" s="5">
        <v>98</v>
      </c>
      <c r="AI46" s="5">
        <v>98</v>
      </c>
      <c r="AJ46" s="5">
        <v>99</v>
      </c>
    </row>
    <row r="47" spans="1:36" x14ac:dyDescent="0.25">
      <c r="A47" s="5">
        <v>3</v>
      </c>
      <c r="B47" s="5">
        <v>55</v>
      </c>
      <c r="C47" s="50">
        <v>0.2</v>
      </c>
      <c r="D47" s="5">
        <v>0.22</v>
      </c>
      <c r="E47" s="5">
        <v>0.23</v>
      </c>
      <c r="F47" s="5">
        <v>0.21</v>
      </c>
      <c r="G47" s="5">
        <v>0.24</v>
      </c>
      <c r="H47" s="5">
        <v>0.22</v>
      </c>
      <c r="I47" s="5">
        <v>0.21</v>
      </c>
      <c r="J47" s="5">
        <v>0.19</v>
      </c>
      <c r="K47" s="5">
        <v>0.22</v>
      </c>
      <c r="L47" s="5">
        <v>0.21</v>
      </c>
      <c r="M47" s="5">
        <v>3</v>
      </c>
      <c r="N47" s="5">
        <v>12.5</v>
      </c>
      <c r="O47" s="5">
        <v>12.1</v>
      </c>
      <c r="P47" s="5">
        <v>12.1</v>
      </c>
      <c r="Q47" s="5">
        <v>12</v>
      </c>
      <c r="R47" s="5">
        <v>12</v>
      </c>
      <c r="S47" s="5">
        <v>12.8</v>
      </c>
      <c r="T47" s="5">
        <v>12.3</v>
      </c>
      <c r="U47" s="5">
        <v>12.3</v>
      </c>
      <c r="V47" s="5">
        <v>12.4</v>
      </c>
      <c r="W47" s="5">
        <v>12.1</v>
      </c>
      <c r="Y47" s="5">
        <v>3</v>
      </c>
      <c r="Z47" s="5">
        <v>55</v>
      </c>
      <c r="AA47" s="5">
        <v>98</v>
      </c>
      <c r="AB47" s="5">
        <v>97</v>
      </c>
      <c r="AC47" s="5">
        <v>98</v>
      </c>
      <c r="AD47" s="5">
        <v>99</v>
      </c>
      <c r="AE47" s="5">
        <v>97</v>
      </c>
      <c r="AF47" s="5">
        <v>99</v>
      </c>
      <c r="AG47" s="5">
        <v>97</v>
      </c>
      <c r="AH47" s="5">
        <v>98</v>
      </c>
      <c r="AI47" s="5">
        <v>98</v>
      </c>
      <c r="AJ47" s="5">
        <v>97</v>
      </c>
    </row>
    <row r="48" spans="1:36" x14ac:dyDescent="0.25">
      <c r="A48" s="5">
        <v>4</v>
      </c>
      <c r="B48" s="5">
        <v>65</v>
      </c>
      <c r="C48" s="50">
        <v>0.26</v>
      </c>
      <c r="D48" s="5">
        <v>0.21</v>
      </c>
      <c r="E48" s="5">
        <v>0.23</v>
      </c>
      <c r="F48" s="5">
        <v>0.28000000000000003</v>
      </c>
      <c r="G48" s="5">
        <v>0.27</v>
      </c>
      <c r="H48" s="5">
        <v>0.27</v>
      </c>
      <c r="I48" s="5">
        <v>0.22</v>
      </c>
      <c r="J48" s="5">
        <v>0.22</v>
      </c>
      <c r="K48" s="5">
        <v>0.23</v>
      </c>
      <c r="L48" s="5">
        <v>0.24</v>
      </c>
      <c r="M48" s="5">
        <v>4</v>
      </c>
      <c r="N48" s="5">
        <v>15.1</v>
      </c>
      <c r="O48" s="5">
        <v>14.2</v>
      </c>
      <c r="P48" s="5">
        <v>14.4</v>
      </c>
      <c r="Q48" s="5">
        <v>14.8</v>
      </c>
      <c r="R48" s="5">
        <v>14.7</v>
      </c>
      <c r="S48" s="5">
        <v>15.5</v>
      </c>
      <c r="T48" s="5">
        <v>14.5</v>
      </c>
      <c r="U48" s="5">
        <v>14.5</v>
      </c>
      <c r="V48" s="5">
        <v>14.7</v>
      </c>
      <c r="W48" s="5">
        <v>14.5</v>
      </c>
      <c r="Y48" s="5">
        <v>4</v>
      </c>
      <c r="Z48" s="5">
        <v>65</v>
      </c>
      <c r="AA48" s="5">
        <v>100</v>
      </c>
      <c r="AB48" s="5">
        <v>100</v>
      </c>
      <c r="AC48" s="5">
        <v>100</v>
      </c>
      <c r="AD48" s="5">
        <v>100</v>
      </c>
      <c r="AE48" s="5">
        <v>100</v>
      </c>
      <c r="AF48" s="5">
        <v>100</v>
      </c>
      <c r="AG48" s="5">
        <v>100</v>
      </c>
      <c r="AH48" s="5">
        <v>100</v>
      </c>
      <c r="AI48" s="5">
        <v>100</v>
      </c>
      <c r="AJ48" s="5">
        <v>100</v>
      </c>
    </row>
    <row r="49" spans="1:36" x14ac:dyDescent="0.25">
      <c r="A49" s="5">
        <v>5</v>
      </c>
      <c r="B49" s="5">
        <v>75</v>
      </c>
      <c r="C49" s="50">
        <v>0.23</v>
      </c>
      <c r="D49" s="5">
        <v>0.21</v>
      </c>
      <c r="E49" s="5">
        <v>0.24</v>
      </c>
      <c r="F49" s="5">
        <v>0.22</v>
      </c>
      <c r="G49" s="5">
        <v>0.18</v>
      </c>
      <c r="H49" s="5">
        <v>0.25</v>
      </c>
      <c r="I49" s="5">
        <v>0.22</v>
      </c>
      <c r="J49" s="5">
        <v>0.26</v>
      </c>
      <c r="K49" s="5">
        <v>0.23</v>
      </c>
      <c r="L49" s="5">
        <v>0.21</v>
      </c>
      <c r="M49" s="5">
        <v>5</v>
      </c>
      <c r="N49" s="5">
        <v>17.399999999999999</v>
      </c>
      <c r="O49" s="5">
        <v>16.3</v>
      </c>
      <c r="P49" s="5">
        <v>16.8</v>
      </c>
      <c r="Q49" s="5">
        <v>17</v>
      </c>
      <c r="R49" s="5">
        <v>16.5</v>
      </c>
      <c r="S49" s="5">
        <v>18</v>
      </c>
      <c r="T49" s="5">
        <v>16.7</v>
      </c>
      <c r="U49" s="5">
        <v>17.100000000000001</v>
      </c>
      <c r="V49" s="5">
        <v>17</v>
      </c>
      <c r="W49" s="5">
        <v>16.600000000000001</v>
      </c>
      <c r="Y49" s="5">
        <v>5</v>
      </c>
      <c r="Z49" s="5">
        <v>75</v>
      </c>
      <c r="AA49" s="5">
        <v>100</v>
      </c>
      <c r="AB49" s="5">
        <v>100</v>
      </c>
      <c r="AC49" s="5">
        <v>100</v>
      </c>
      <c r="AD49" s="5">
        <v>100</v>
      </c>
      <c r="AE49" s="5">
        <v>100</v>
      </c>
      <c r="AF49" s="5">
        <v>100</v>
      </c>
      <c r="AG49" s="5">
        <v>100</v>
      </c>
      <c r="AH49" s="5">
        <v>100</v>
      </c>
      <c r="AI49" s="5">
        <v>100</v>
      </c>
      <c r="AJ49" s="5">
        <v>100</v>
      </c>
    </row>
    <row r="50" spans="1:36" x14ac:dyDescent="0.25">
      <c r="A50" s="5">
        <v>6</v>
      </c>
      <c r="B50" s="5">
        <v>85</v>
      </c>
      <c r="C50" s="50">
        <v>0.23</v>
      </c>
      <c r="D50" s="5">
        <v>0.21</v>
      </c>
      <c r="E50" s="5">
        <v>0.24</v>
      </c>
      <c r="F50" s="5">
        <v>0.22</v>
      </c>
      <c r="G50" s="5">
        <v>0.18</v>
      </c>
      <c r="H50" s="5">
        <v>0.25</v>
      </c>
      <c r="I50" s="5">
        <v>0.22</v>
      </c>
      <c r="J50" s="5">
        <v>0.26</v>
      </c>
      <c r="K50" s="5">
        <v>0.23</v>
      </c>
      <c r="L50" s="5">
        <v>0.21</v>
      </c>
      <c r="M50" s="5">
        <v>6</v>
      </c>
      <c r="N50" s="5">
        <v>19.7</v>
      </c>
      <c r="O50" s="5">
        <v>18.399999999999999</v>
      </c>
      <c r="P50" s="5">
        <v>19.2</v>
      </c>
      <c r="Q50" s="5">
        <v>19.2</v>
      </c>
      <c r="R50" s="5">
        <v>18.3</v>
      </c>
      <c r="S50" s="5">
        <v>20.5</v>
      </c>
      <c r="T50" s="5">
        <v>18.899999999999999</v>
      </c>
      <c r="U50" s="5">
        <v>19.7</v>
      </c>
      <c r="V50" s="5">
        <v>18.7</v>
      </c>
      <c r="W50" s="5">
        <v>18.7</v>
      </c>
      <c r="Y50" s="5">
        <v>6</v>
      </c>
      <c r="Z50" s="5">
        <v>85</v>
      </c>
      <c r="AA50" s="5">
        <v>100</v>
      </c>
      <c r="AB50" s="5">
        <v>100</v>
      </c>
      <c r="AC50" s="5">
        <v>100</v>
      </c>
      <c r="AD50" s="5">
        <v>100</v>
      </c>
      <c r="AE50" s="5">
        <v>100</v>
      </c>
      <c r="AF50" s="5">
        <v>100</v>
      </c>
      <c r="AG50" s="5">
        <v>100</v>
      </c>
      <c r="AH50" s="5">
        <v>100</v>
      </c>
      <c r="AI50" s="5">
        <v>100</v>
      </c>
      <c r="AJ50" s="5">
        <v>100</v>
      </c>
    </row>
    <row r="51" spans="1:36" x14ac:dyDescent="0.25">
      <c r="A51" s="5">
        <v>7</v>
      </c>
      <c r="B51" s="5">
        <v>95</v>
      </c>
      <c r="C51" s="50">
        <v>0.31</v>
      </c>
      <c r="D51" s="5">
        <v>0.33</v>
      </c>
      <c r="E51" s="5">
        <v>0.34</v>
      </c>
      <c r="F51" s="5">
        <v>0.28000000000000003</v>
      </c>
      <c r="G51" s="5">
        <v>0.3</v>
      </c>
      <c r="H51" s="5">
        <v>0.33</v>
      </c>
      <c r="I51" s="5">
        <v>0.31</v>
      </c>
      <c r="J51" s="5">
        <v>0.35</v>
      </c>
      <c r="K51" s="5">
        <v>0.31</v>
      </c>
      <c r="L51" s="5">
        <v>0.32</v>
      </c>
      <c r="M51" s="5">
        <v>7</v>
      </c>
      <c r="N51" s="5">
        <v>22.8</v>
      </c>
      <c r="O51" s="5">
        <v>21.7</v>
      </c>
      <c r="P51" s="5">
        <v>22.6</v>
      </c>
      <c r="Q51" s="5">
        <v>22</v>
      </c>
      <c r="R51" s="5">
        <v>21.3</v>
      </c>
      <c r="S51" s="5">
        <v>23.8</v>
      </c>
      <c r="T51" s="5">
        <v>22</v>
      </c>
      <c r="U51" s="5">
        <v>23.2</v>
      </c>
      <c r="V51" s="5">
        <v>21.9</v>
      </c>
      <c r="W51" s="5">
        <v>21.9</v>
      </c>
      <c r="Y51" s="5">
        <v>7</v>
      </c>
      <c r="Z51" s="5">
        <v>95</v>
      </c>
      <c r="AA51" s="5">
        <v>100</v>
      </c>
      <c r="AB51" s="5">
        <v>100</v>
      </c>
      <c r="AC51" s="5">
        <v>100</v>
      </c>
      <c r="AD51" s="5">
        <v>100</v>
      </c>
      <c r="AE51" s="5">
        <v>100</v>
      </c>
      <c r="AF51" s="5">
        <v>100</v>
      </c>
      <c r="AG51" s="5">
        <v>100</v>
      </c>
      <c r="AH51" s="5">
        <v>100</v>
      </c>
      <c r="AI51" s="5">
        <v>100</v>
      </c>
      <c r="AJ51" s="5">
        <v>100</v>
      </c>
    </row>
    <row r="52" spans="1:36" x14ac:dyDescent="0.25">
      <c r="A52" s="5">
        <v>8</v>
      </c>
      <c r="B52" s="5">
        <v>105</v>
      </c>
      <c r="C52" s="50">
        <v>0.31</v>
      </c>
      <c r="D52" s="5">
        <v>0.33</v>
      </c>
      <c r="E52" s="5">
        <v>0.34</v>
      </c>
      <c r="F52" s="5">
        <v>0.28000000000000003</v>
      </c>
      <c r="G52" s="5">
        <v>0.3</v>
      </c>
      <c r="H52" s="5">
        <v>0.33</v>
      </c>
      <c r="I52" s="5">
        <v>0.31</v>
      </c>
      <c r="J52" s="5">
        <v>0.35</v>
      </c>
      <c r="K52" s="5">
        <v>0.31</v>
      </c>
      <c r="L52" s="5">
        <v>0.32</v>
      </c>
      <c r="M52" s="5">
        <v>8</v>
      </c>
      <c r="N52" s="5">
        <v>25.9</v>
      </c>
      <c r="O52" s="5">
        <v>25</v>
      </c>
      <c r="P52" s="5">
        <v>26</v>
      </c>
      <c r="Q52" s="5">
        <v>24.8</v>
      </c>
      <c r="R52" s="5">
        <v>24.3</v>
      </c>
      <c r="S52" s="5">
        <v>27.1</v>
      </c>
      <c r="T52" s="5">
        <v>25.1</v>
      </c>
      <c r="U52" s="5">
        <v>26.7</v>
      </c>
      <c r="V52" s="5">
        <v>25.5</v>
      </c>
      <c r="W52" s="5">
        <v>25.1</v>
      </c>
      <c r="Y52" s="5">
        <v>8</v>
      </c>
      <c r="Z52" s="5">
        <v>105</v>
      </c>
      <c r="AA52" s="5">
        <v>100</v>
      </c>
      <c r="AB52" s="5">
        <v>100</v>
      </c>
      <c r="AC52" s="5">
        <v>100</v>
      </c>
      <c r="AD52" s="5">
        <v>100</v>
      </c>
      <c r="AE52" s="5">
        <v>100</v>
      </c>
      <c r="AF52" s="5">
        <v>100</v>
      </c>
      <c r="AG52" s="5">
        <v>100</v>
      </c>
      <c r="AH52" s="5">
        <v>100</v>
      </c>
      <c r="AI52" s="5">
        <v>100</v>
      </c>
      <c r="AJ52" s="5">
        <v>100</v>
      </c>
    </row>
    <row r="55" spans="1:36" x14ac:dyDescent="0.25">
      <c r="D55" s="50"/>
    </row>
    <row r="56" spans="1:36" x14ac:dyDescent="0.25">
      <c r="B56" s="5" t="s">
        <v>57</v>
      </c>
      <c r="C56" s="5" t="s">
        <v>119</v>
      </c>
      <c r="D56" s="5" t="s">
        <v>120</v>
      </c>
      <c r="E56" s="5" t="s">
        <v>121</v>
      </c>
      <c r="F56" s="5" t="s">
        <v>122</v>
      </c>
      <c r="G56" s="5" t="s">
        <v>123</v>
      </c>
      <c r="H56" s="5" t="s">
        <v>50</v>
      </c>
      <c r="I56" s="5" t="s">
        <v>49</v>
      </c>
      <c r="J56" s="5" t="s">
        <v>48</v>
      </c>
      <c r="K56" s="5" t="s">
        <v>47</v>
      </c>
      <c r="L56" s="5" t="s">
        <v>46</v>
      </c>
      <c r="N56" s="5" t="s">
        <v>187</v>
      </c>
      <c r="O56" s="35" t="s">
        <v>119</v>
      </c>
      <c r="P56" s="35" t="s">
        <v>120</v>
      </c>
      <c r="Q56" s="35" t="s">
        <v>121</v>
      </c>
      <c r="R56" s="35" t="s">
        <v>122</v>
      </c>
      <c r="S56" s="35" t="s">
        <v>123</v>
      </c>
      <c r="T56" s="35" t="s">
        <v>50</v>
      </c>
      <c r="U56" s="35" t="s">
        <v>49</v>
      </c>
      <c r="V56" s="35" t="s">
        <v>48</v>
      </c>
      <c r="W56" s="35" t="s">
        <v>47</v>
      </c>
      <c r="X56" s="35" t="s">
        <v>46</v>
      </c>
    </row>
    <row r="57" spans="1:36" x14ac:dyDescent="0.25">
      <c r="B57" s="5">
        <v>35</v>
      </c>
      <c r="C57" s="5">
        <v>100</v>
      </c>
      <c r="D57" s="5">
        <v>100</v>
      </c>
      <c r="E57" s="5">
        <v>100</v>
      </c>
      <c r="F57" s="5">
        <v>100</v>
      </c>
      <c r="G57" s="5">
        <v>100</v>
      </c>
      <c r="H57" s="5">
        <v>100</v>
      </c>
      <c r="I57" s="5">
        <v>100</v>
      </c>
      <c r="J57" s="5">
        <v>100</v>
      </c>
      <c r="K57" s="5">
        <v>100</v>
      </c>
      <c r="L57" s="5">
        <v>100</v>
      </c>
      <c r="N57" s="5">
        <v>1</v>
      </c>
      <c r="O57" s="51">
        <v>1.1933461645416348</v>
      </c>
      <c r="P57" s="51">
        <v>1.2388616112020367</v>
      </c>
      <c r="Q57" s="51">
        <v>1.3223565607082979</v>
      </c>
      <c r="R57" s="51">
        <v>1.2549507230358294</v>
      </c>
      <c r="S57" s="51">
        <v>1.2388616112020367</v>
      </c>
      <c r="T57" s="51">
        <v>1.2475585336723487</v>
      </c>
      <c r="U57" s="51">
        <v>1.4390350807707948</v>
      </c>
      <c r="V57" s="51">
        <v>1.4574842484729844</v>
      </c>
      <c r="W57" s="51">
        <v>1.4390350807707899</v>
      </c>
      <c r="X57" s="51">
        <v>1.4572507147046023</v>
      </c>
    </row>
    <row r="58" spans="1:36" x14ac:dyDescent="0.25">
      <c r="B58" s="5">
        <v>45</v>
      </c>
      <c r="C58" s="5">
        <v>98</v>
      </c>
      <c r="D58" s="5">
        <v>99</v>
      </c>
      <c r="E58" s="5">
        <v>98</v>
      </c>
      <c r="F58" s="5">
        <v>97</v>
      </c>
      <c r="G58" s="5">
        <v>99</v>
      </c>
      <c r="H58" s="5">
        <v>97</v>
      </c>
      <c r="I58" s="5">
        <v>99</v>
      </c>
      <c r="J58" s="5">
        <v>98</v>
      </c>
      <c r="K58" s="5">
        <v>98</v>
      </c>
      <c r="L58" s="5">
        <v>99</v>
      </c>
      <c r="N58" s="5">
        <v>2</v>
      </c>
      <c r="O58" s="52">
        <v>1.0009675440869445</v>
      </c>
      <c r="P58" s="51">
        <v>1.0377704257996543</v>
      </c>
      <c r="Q58" s="51">
        <v>1.0725143507021246</v>
      </c>
      <c r="R58" s="51">
        <v>1.0591677541666573</v>
      </c>
      <c r="S58" s="51">
        <v>1.0702007516058936</v>
      </c>
      <c r="T58" s="52">
        <v>1.0359471334771893</v>
      </c>
      <c r="U58" s="52">
        <v>1.202321372786904</v>
      </c>
      <c r="V58" s="52">
        <v>1.202321372786904</v>
      </c>
      <c r="W58" s="52">
        <v>1.202321372786904</v>
      </c>
      <c r="X58" s="52">
        <v>1.202321372786904</v>
      </c>
    </row>
    <row r="59" spans="1:36" x14ac:dyDescent="0.25">
      <c r="B59" s="5">
        <v>55</v>
      </c>
      <c r="C59" s="5">
        <v>98</v>
      </c>
      <c r="D59" s="5">
        <v>97</v>
      </c>
      <c r="E59" s="5">
        <v>98</v>
      </c>
      <c r="F59" s="5">
        <v>99</v>
      </c>
      <c r="G59" s="5">
        <v>97</v>
      </c>
      <c r="H59" s="5">
        <v>99</v>
      </c>
      <c r="I59" s="5">
        <v>97</v>
      </c>
      <c r="J59" s="5">
        <v>98</v>
      </c>
      <c r="K59" s="5">
        <v>98</v>
      </c>
      <c r="L59" s="5">
        <v>97</v>
      </c>
      <c r="N59" s="5">
        <v>3</v>
      </c>
      <c r="O59" s="52">
        <v>1.330609919202653</v>
      </c>
      <c r="P59" s="52">
        <v>1.3437008411291862</v>
      </c>
      <c r="Q59" s="51">
        <v>1.358327200295508</v>
      </c>
      <c r="R59" s="51">
        <v>1.358327200295508</v>
      </c>
      <c r="S59" s="51">
        <v>1.358327200295508</v>
      </c>
      <c r="T59" s="51">
        <v>1.358327200295508</v>
      </c>
      <c r="U59" s="52">
        <v>1.5778550432492415</v>
      </c>
      <c r="V59" s="52">
        <v>1.5778550432492415</v>
      </c>
      <c r="W59" s="52">
        <v>1.5778550432492415</v>
      </c>
      <c r="X59" s="52">
        <v>1.5778550432492415</v>
      </c>
    </row>
    <row r="60" spans="1:36" x14ac:dyDescent="0.25">
      <c r="B60" s="5">
        <v>65</v>
      </c>
      <c r="C60" s="5">
        <v>100</v>
      </c>
      <c r="D60" s="5">
        <v>100</v>
      </c>
      <c r="E60" s="5">
        <v>100</v>
      </c>
      <c r="F60" s="5">
        <v>100</v>
      </c>
      <c r="G60" s="5">
        <v>100</v>
      </c>
      <c r="H60" s="5">
        <v>100</v>
      </c>
      <c r="I60" s="5">
        <v>100</v>
      </c>
      <c r="J60" s="5">
        <v>100</v>
      </c>
      <c r="K60" s="5">
        <v>100</v>
      </c>
      <c r="L60" s="5">
        <v>100</v>
      </c>
      <c r="N60" s="5">
        <v>4</v>
      </c>
      <c r="O60" s="51">
        <v>1.5912952630946096</v>
      </c>
      <c r="P60" s="51">
        <v>1.7058094819656711</v>
      </c>
      <c r="Q60" s="51">
        <v>1.7058094819656711</v>
      </c>
      <c r="R60" s="51">
        <v>1.6477887512865668</v>
      </c>
      <c r="S60" s="51">
        <v>1.6477887512865668</v>
      </c>
      <c r="T60" s="51">
        <v>1.6196835911823448</v>
      </c>
      <c r="U60" s="53">
        <v>1.3384563470321149</v>
      </c>
      <c r="V60" s="53">
        <v>1.3384563470321149</v>
      </c>
      <c r="W60" s="53">
        <v>1.3384563470321149</v>
      </c>
      <c r="X60" s="53">
        <v>1.3384563470321149</v>
      </c>
    </row>
    <row r="61" spans="1:36" x14ac:dyDescent="0.25">
      <c r="B61" s="5">
        <v>75</v>
      </c>
      <c r="C61" s="5">
        <v>100</v>
      </c>
      <c r="D61" s="5">
        <v>100</v>
      </c>
      <c r="E61" s="5">
        <v>100</v>
      </c>
      <c r="F61" s="5">
        <v>100</v>
      </c>
      <c r="G61" s="5">
        <v>100</v>
      </c>
      <c r="H61" s="5">
        <v>100</v>
      </c>
      <c r="I61" s="5">
        <v>100</v>
      </c>
      <c r="J61" s="5">
        <v>100</v>
      </c>
      <c r="K61" s="5">
        <v>100</v>
      </c>
      <c r="L61" s="5">
        <v>100</v>
      </c>
      <c r="N61" s="5">
        <v>5</v>
      </c>
      <c r="O61" s="53">
        <v>1.3523201820203921</v>
      </c>
      <c r="P61" s="53">
        <v>1.484957089892202</v>
      </c>
      <c r="Q61" s="51">
        <v>1.4422520270877834</v>
      </c>
      <c r="R61" s="51">
        <v>1.4910784970714706</v>
      </c>
      <c r="S61" s="51">
        <v>1.5362626939524242</v>
      </c>
      <c r="T61" s="51">
        <v>1.7</v>
      </c>
      <c r="U61" s="51">
        <v>1.1000000000000001</v>
      </c>
      <c r="V61" s="51">
        <v>1.2</v>
      </c>
      <c r="W61" s="51">
        <v>1.2</v>
      </c>
      <c r="X61" s="51">
        <v>1.1000000000000001</v>
      </c>
    </row>
    <row r="62" spans="1:36" x14ac:dyDescent="0.25">
      <c r="B62" s="5">
        <v>85</v>
      </c>
      <c r="C62" s="5">
        <v>100</v>
      </c>
      <c r="D62" s="5">
        <v>100</v>
      </c>
      <c r="E62" s="5">
        <v>100</v>
      </c>
      <c r="F62" s="5">
        <v>100</v>
      </c>
      <c r="G62" s="5">
        <v>100</v>
      </c>
      <c r="H62" s="5">
        <v>100</v>
      </c>
      <c r="I62" s="5">
        <v>100</v>
      </c>
      <c r="J62" s="5">
        <v>100</v>
      </c>
      <c r="K62" s="5">
        <v>100</v>
      </c>
      <c r="L62" s="5">
        <v>100</v>
      </c>
      <c r="N62" s="5">
        <v>6</v>
      </c>
      <c r="O62" s="51">
        <v>1.0943422145946002</v>
      </c>
      <c r="P62" s="51">
        <v>1.1862172829333948</v>
      </c>
      <c r="Q62" s="51">
        <v>1.1229462299909156</v>
      </c>
      <c r="R62" s="51">
        <v>1.2150235732346342</v>
      </c>
      <c r="S62" s="51">
        <v>1.2150235732346342</v>
      </c>
      <c r="T62" s="51">
        <v>1.6</v>
      </c>
      <c r="U62" s="51">
        <v>1.6</v>
      </c>
      <c r="V62" s="51">
        <v>1.7</v>
      </c>
      <c r="W62" s="51">
        <v>1.7</v>
      </c>
      <c r="X62" s="51">
        <v>1.6</v>
      </c>
    </row>
    <row r="63" spans="1:36" x14ac:dyDescent="0.25">
      <c r="B63" s="5">
        <v>95</v>
      </c>
      <c r="C63" s="5">
        <v>100</v>
      </c>
      <c r="D63" s="5">
        <v>100</v>
      </c>
      <c r="E63" s="5">
        <v>100</v>
      </c>
      <c r="F63" s="5">
        <v>100</v>
      </c>
      <c r="G63" s="5">
        <v>100</v>
      </c>
      <c r="H63" s="5">
        <v>100</v>
      </c>
      <c r="I63" s="5">
        <v>100</v>
      </c>
      <c r="J63" s="5">
        <v>100</v>
      </c>
      <c r="K63" s="5">
        <v>100</v>
      </c>
      <c r="L63" s="5">
        <v>100</v>
      </c>
      <c r="N63" s="5">
        <v>7</v>
      </c>
      <c r="O63" s="51">
        <v>1.4965945096720377</v>
      </c>
      <c r="P63" s="51">
        <v>1.5919959273534836</v>
      </c>
      <c r="Q63" s="51">
        <v>1.5099805976715543</v>
      </c>
      <c r="R63" s="51">
        <v>1.6407142637684775</v>
      </c>
      <c r="S63" s="51">
        <v>1.6407142637684775</v>
      </c>
      <c r="T63" s="51">
        <v>1.3360459560585516</v>
      </c>
      <c r="U63" s="51">
        <v>1.3360459560585516</v>
      </c>
      <c r="V63" s="51">
        <v>1.3603601534785779</v>
      </c>
      <c r="W63" s="51">
        <v>1.3603601534785779</v>
      </c>
      <c r="X63" s="51">
        <v>1.3236623405373957</v>
      </c>
    </row>
    <row r="64" spans="1:36" x14ac:dyDescent="0.25">
      <c r="B64" s="5">
        <v>105</v>
      </c>
      <c r="C64" s="5">
        <v>100</v>
      </c>
      <c r="D64" s="5">
        <v>100</v>
      </c>
      <c r="E64" s="5">
        <v>100</v>
      </c>
      <c r="F64" s="5">
        <v>100</v>
      </c>
      <c r="G64" s="5">
        <v>100</v>
      </c>
      <c r="H64" s="5">
        <v>100</v>
      </c>
      <c r="I64" s="5">
        <v>100</v>
      </c>
      <c r="J64" s="5">
        <v>100</v>
      </c>
      <c r="K64" s="5">
        <v>100</v>
      </c>
      <c r="L64" s="5">
        <v>100</v>
      </c>
      <c r="N64" s="5">
        <v>8</v>
      </c>
      <c r="O64" s="51">
        <v>1.3174654370858092</v>
      </c>
      <c r="P64" s="51">
        <v>1.3818524649428237</v>
      </c>
      <c r="Q64" s="51">
        <v>1.308486903393127</v>
      </c>
      <c r="R64" s="53">
        <v>1.4554723307623589</v>
      </c>
      <c r="S64" s="51">
        <v>1.3741885305902297</v>
      </c>
      <c r="T64" s="51">
        <v>1.2350465988396282</v>
      </c>
      <c r="U64" s="51">
        <v>1.2350465988396282</v>
      </c>
      <c r="V64" s="51">
        <v>1.2350465988396282</v>
      </c>
      <c r="W64" s="51">
        <v>1.3095208350330421</v>
      </c>
      <c r="X64" s="51">
        <v>1.2</v>
      </c>
    </row>
    <row r="66" spans="14:14" x14ac:dyDescent="0.25">
      <c r="N66" s="48"/>
    </row>
    <row r="68" spans="14:14" x14ac:dyDescent="0.25">
      <c r="N68" s="48"/>
    </row>
    <row r="70" spans="14:14" x14ac:dyDescent="0.25">
      <c r="N70" s="48"/>
    </row>
    <row r="71" spans="14:14" x14ac:dyDescent="0.25">
      <c r="N71" s="48"/>
    </row>
    <row r="72" spans="14:14" x14ac:dyDescent="0.25">
      <c r="N72" s="48"/>
    </row>
    <row r="73" spans="14:14" x14ac:dyDescent="0.25">
      <c r="N73" s="48"/>
    </row>
    <row r="74" spans="14:14" x14ac:dyDescent="0.25">
      <c r="N74" s="48"/>
    </row>
  </sheetData>
  <mergeCells count="11">
    <mergeCell ref="W14:AE14"/>
    <mergeCell ref="W1:AE1"/>
    <mergeCell ref="A1:I1"/>
    <mergeCell ref="A14:I14"/>
    <mergeCell ref="A27:I27"/>
    <mergeCell ref="L1:T1"/>
    <mergeCell ref="L14:T14"/>
    <mergeCell ref="L27:T27"/>
    <mergeCell ref="W27:AE27"/>
    <mergeCell ref="G3:G7"/>
    <mergeCell ref="G8:G12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AD6E-5291-4604-8E5B-C7FC989FAB82}">
  <dimension ref="A1:Q58"/>
  <sheetViews>
    <sheetView zoomScale="68" zoomScaleNormal="130" workbookViewId="0">
      <selection activeCell="G2" sqref="G2"/>
    </sheetView>
  </sheetViews>
  <sheetFormatPr defaultRowHeight="15.6" x14ac:dyDescent="0.3"/>
  <cols>
    <col min="1" max="1" width="25.6640625" style="22" customWidth="1"/>
    <col min="2" max="2" width="8.77734375" style="22" customWidth="1"/>
    <col min="3" max="7" width="16" style="22" customWidth="1"/>
    <col min="8" max="8" width="15.33203125" style="22" customWidth="1"/>
    <col min="9" max="9" width="9" style="22" customWidth="1"/>
    <col min="10" max="10" width="14.88671875" style="22" customWidth="1"/>
    <col min="11" max="11" width="14.5546875" style="22" customWidth="1"/>
    <col min="12" max="12" width="15" style="22" customWidth="1"/>
    <col min="13" max="13" width="14.33203125" style="22" customWidth="1"/>
    <col min="14" max="14" width="14.88671875" style="22" customWidth="1"/>
    <col min="15" max="15" width="11.21875" style="22" customWidth="1"/>
    <col min="16" max="16" width="16.77734375" style="22" customWidth="1"/>
    <col min="17" max="17" width="11.5546875" style="22" customWidth="1"/>
    <col min="18" max="20" width="8.88671875" style="22"/>
    <col min="21" max="21" width="8.88671875" style="22" customWidth="1"/>
    <col min="22" max="16384" width="8.88671875" style="22"/>
  </cols>
  <sheetData>
    <row r="1" spans="1:17" x14ac:dyDescent="0.3">
      <c r="A1" s="43">
        <f t="shared" ref="A1:A52" ca="1" si="0">RANDBETWEEN(26,29)</f>
        <v>27</v>
      </c>
      <c r="E1" s="22">
        <f ca="1">RANDBETWEEN(15,25)</f>
        <v>20</v>
      </c>
      <c r="G1" s="47">
        <f ca="1">RAND()*(7.1-7.8)+7.8</f>
        <v>7.6695457797359694</v>
      </c>
      <c r="J1" s="47">
        <f ca="1">RAND()*(5.5-7.2)+7.2</f>
        <v>7.1443217397949006</v>
      </c>
      <c r="O1" s="25"/>
      <c r="P1" s="25"/>
      <c r="Q1" s="25"/>
    </row>
    <row r="2" spans="1:17" x14ac:dyDescent="0.3">
      <c r="A2" s="43">
        <f t="shared" ca="1" si="0"/>
        <v>29</v>
      </c>
      <c r="E2" s="22">
        <f t="shared" ref="E2:E35" ca="1" si="1">RANDBETWEEN(15,25)</f>
        <v>22</v>
      </c>
      <c r="G2" s="47">
        <f t="shared" ref="G2:G35" ca="1" si="2">RAND()*(7.1-7.8)+7.8</f>
        <v>7.5169111015444319</v>
      </c>
      <c r="J2" s="47">
        <f t="shared" ref="J2:J35" ca="1" si="3">RAND()*(5.5-7.2)+7.2</f>
        <v>5.8220982544566162</v>
      </c>
      <c r="O2" s="23"/>
      <c r="P2" s="23"/>
      <c r="Q2" s="23"/>
    </row>
    <row r="3" spans="1:17" x14ac:dyDescent="0.3">
      <c r="A3" s="43">
        <f ca="1">RANDBETWEEN(26,29)</f>
        <v>26</v>
      </c>
      <c r="E3" s="22">
        <f t="shared" ca="1" si="1"/>
        <v>17</v>
      </c>
      <c r="G3" s="47">
        <f t="shared" ca="1" si="2"/>
        <v>7.1732799373720635</v>
      </c>
      <c r="J3" s="47">
        <f t="shared" ca="1" si="3"/>
        <v>5.5883058311140479</v>
      </c>
      <c r="O3" s="27"/>
      <c r="P3" s="24"/>
      <c r="Q3" s="27"/>
    </row>
    <row r="4" spans="1:17" x14ac:dyDescent="0.3">
      <c r="A4" s="43">
        <f t="shared" ca="1" si="0"/>
        <v>26</v>
      </c>
      <c r="E4" s="22">
        <f t="shared" ca="1" si="1"/>
        <v>25</v>
      </c>
      <c r="G4" s="47">
        <f t="shared" ca="1" si="2"/>
        <v>7.5842287844879221</v>
      </c>
      <c r="J4" s="47">
        <f t="shared" ca="1" si="3"/>
        <v>6.0973649381615482</v>
      </c>
      <c r="O4" s="27"/>
      <c r="P4" s="24"/>
      <c r="Q4" s="27"/>
    </row>
    <row r="5" spans="1:17" x14ac:dyDescent="0.3">
      <c r="A5" s="43">
        <f t="shared" ca="1" si="0"/>
        <v>29</v>
      </c>
      <c r="E5" s="22">
        <f t="shared" ca="1" si="1"/>
        <v>16</v>
      </c>
      <c r="G5" s="47">
        <f t="shared" ca="1" si="2"/>
        <v>7.5713934620463226</v>
      </c>
      <c r="J5" s="47">
        <f t="shared" ca="1" si="3"/>
        <v>5.8215440570067152</v>
      </c>
      <c r="O5" s="27"/>
    </row>
    <row r="6" spans="1:17" x14ac:dyDescent="0.3">
      <c r="A6" s="43">
        <f t="shared" ca="1" si="0"/>
        <v>29</v>
      </c>
      <c r="E6" s="22">
        <f t="shared" ca="1" si="1"/>
        <v>20</v>
      </c>
      <c r="G6" s="47">
        <f t="shared" ca="1" si="2"/>
        <v>7.6791550408438205</v>
      </c>
      <c r="J6" s="47">
        <f t="shared" ca="1" si="3"/>
        <v>5.5513814254973797</v>
      </c>
      <c r="O6" s="27"/>
    </row>
    <row r="7" spans="1:17" x14ac:dyDescent="0.3">
      <c r="A7" s="43">
        <f t="shared" ca="1" si="0"/>
        <v>26</v>
      </c>
      <c r="E7" s="22">
        <f t="shared" ca="1" si="1"/>
        <v>18</v>
      </c>
      <c r="G7" s="47">
        <f t="shared" ca="1" si="2"/>
        <v>7.1580101839640164</v>
      </c>
      <c r="H7" s="31">
        <f>'Management Pakan'!D6</f>
        <v>13</v>
      </c>
      <c r="J7" s="47">
        <f t="shared" ca="1" si="3"/>
        <v>6.6528516880030821</v>
      </c>
      <c r="M7" s="22">
        <v>256000</v>
      </c>
      <c r="N7" s="22">
        <f>M7/P21</f>
        <v>2.56</v>
      </c>
      <c r="O7" s="27"/>
    </row>
    <row r="8" spans="1:17" x14ac:dyDescent="0.3">
      <c r="A8" s="43">
        <f t="shared" ca="1" si="0"/>
        <v>29</v>
      </c>
      <c r="E8" s="22">
        <f t="shared" ca="1" si="1"/>
        <v>16</v>
      </c>
      <c r="G8" s="47">
        <f t="shared" ca="1" si="2"/>
        <v>7.3735590667527298</v>
      </c>
      <c r="J8" s="47">
        <f t="shared" ca="1" si="3"/>
        <v>6.307948479984633</v>
      </c>
      <c r="O8" s="27"/>
    </row>
    <row r="9" spans="1:17" x14ac:dyDescent="0.3">
      <c r="A9" s="43">
        <f t="shared" ca="1" si="0"/>
        <v>27</v>
      </c>
      <c r="E9" s="22">
        <f t="shared" ca="1" si="1"/>
        <v>21</v>
      </c>
      <c r="G9" s="47">
        <f t="shared" ca="1" si="2"/>
        <v>7.704002895656334</v>
      </c>
      <c r="J9" s="47">
        <f t="shared" ca="1" si="3"/>
        <v>6.7061218772421478</v>
      </c>
      <c r="O9" s="27"/>
    </row>
    <row r="10" spans="1:17" x14ac:dyDescent="0.3">
      <c r="A10" s="43">
        <f t="shared" ca="1" si="0"/>
        <v>29</v>
      </c>
      <c r="E10" s="22">
        <f t="shared" ca="1" si="1"/>
        <v>20</v>
      </c>
      <c r="G10" s="47">
        <f t="shared" ca="1" si="2"/>
        <v>7.5015875043627753</v>
      </c>
      <c r="J10" s="47">
        <f t="shared" ca="1" si="3"/>
        <v>5.6712879928936326</v>
      </c>
      <c r="O10" s="27"/>
      <c r="P10" s="24"/>
      <c r="Q10" s="27"/>
    </row>
    <row r="11" spans="1:17" x14ac:dyDescent="0.3">
      <c r="A11" s="43">
        <f t="shared" ca="1" si="0"/>
        <v>27</v>
      </c>
      <c r="E11" s="22">
        <f t="shared" ca="1" si="1"/>
        <v>24</v>
      </c>
      <c r="G11" s="47">
        <f t="shared" ca="1" si="2"/>
        <v>7.379964995890437</v>
      </c>
      <c r="J11" s="47">
        <f t="shared" ca="1" si="3"/>
        <v>6.9412336541271946</v>
      </c>
      <c r="O11" s="27"/>
      <c r="P11" s="24"/>
      <c r="Q11" s="27"/>
    </row>
    <row r="12" spans="1:17" x14ac:dyDescent="0.3">
      <c r="A12" s="43">
        <f t="shared" ca="1" si="0"/>
        <v>28</v>
      </c>
      <c r="E12" s="22">
        <f t="shared" ca="1" si="1"/>
        <v>17</v>
      </c>
      <c r="G12" s="47">
        <f t="shared" ca="1" si="2"/>
        <v>7.3333670278405911</v>
      </c>
      <c r="J12" s="47">
        <f t="shared" ca="1" si="3"/>
        <v>6.2369025636615349</v>
      </c>
      <c r="M12" s="22">
        <v>281000</v>
      </c>
      <c r="N12" s="22">
        <f>M12/P21</f>
        <v>2.81</v>
      </c>
      <c r="O12" s="27"/>
      <c r="P12" s="24"/>
      <c r="Q12" s="27"/>
    </row>
    <row r="13" spans="1:17" x14ac:dyDescent="0.3">
      <c r="A13" s="43">
        <f t="shared" ca="1" si="0"/>
        <v>29</v>
      </c>
      <c r="B13" s="27"/>
      <c r="C13" s="27"/>
      <c r="D13" s="27"/>
      <c r="E13" s="22">
        <f t="shared" ca="1" si="1"/>
        <v>22</v>
      </c>
      <c r="F13" s="27"/>
      <c r="G13" s="47">
        <f t="shared" ca="1" si="2"/>
        <v>7.719371050776501</v>
      </c>
      <c r="H13" s="20"/>
      <c r="I13" s="20"/>
      <c r="J13" s="47">
        <f t="shared" ca="1" si="3"/>
        <v>7.1688776995556269</v>
      </c>
      <c r="K13" s="20"/>
      <c r="N13" s="19"/>
      <c r="O13" s="27"/>
      <c r="P13" s="24"/>
      <c r="Q13" s="27"/>
    </row>
    <row r="14" spans="1:17" x14ac:dyDescent="0.3">
      <c r="A14" s="43">
        <f t="shared" ca="1" si="0"/>
        <v>28</v>
      </c>
      <c r="B14" s="27"/>
      <c r="C14" s="27"/>
      <c r="D14" s="27"/>
      <c r="E14" s="22">
        <f t="shared" ca="1" si="1"/>
        <v>20</v>
      </c>
      <c r="F14" s="27"/>
      <c r="G14" s="47">
        <f t="shared" ca="1" si="2"/>
        <v>7.7570885382856449</v>
      </c>
      <c r="H14" s="20"/>
      <c r="I14" s="20"/>
      <c r="J14" s="47">
        <f t="shared" ca="1" si="3"/>
        <v>5.6054333992355456</v>
      </c>
      <c r="K14" s="20"/>
      <c r="N14" s="19"/>
      <c r="O14" s="27"/>
      <c r="P14" s="24"/>
      <c r="Q14" s="27"/>
    </row>
    <row r="15" spans="1:17" x14ac:dyDescent="0.3">
      <c r="A15" s="43">
        <f t="shared" ca="1" si="0"/>
        <v>26</v>
      </c>
      <c r="E15" s="22">
        <f t="shared" ca="1" si="1"/>
        <v>21</v>
      </c>
      <c r="G15" s="47">
        <f t="shared" ca="1" si="2"/>
        <v>7.4281305731964329</v>
      </c>
      <c r="I15" s="24"/>
      <c r="J15" s="47">
        <f t="shared" ca="1" si="3"/>
        <v>5.9560767446048555</v>
      </c>
      <c r="K15" s="24"/>
      <c r="L15" s="24"/>
      <c r="M15" s="24"/>
      <c r="N15" s="24"/>
      <c r="O15" s="27"/>
      <c r="P15" s="24"/>
      <c r="Q15" s="27"/>
    </row>
    <row r="16" spans="1:17" x14ac:dyDescent="0.3">
      <c r="A16" s="43">
        <f t="shared" ca="1" si="0"/>
        <v>29</v>
      </c>
      <c r="E16" s="22">
        <f t="shared" ca="1" si="1"/>
        <v>19</v>
      </c>
      <c r="G16" s="47">
        <f t="shared" ca="1" si="2"/>
        <v>7.2427020979538117</v>
      </c>
      <c r="I16" s="24"/>
      <c r="J16" s="47">
        <f t="shared" ca="1" si="3"/>
        <v>5.8867876591430042</v>
      </c>
      <c r="K16" s="24"/>
      <c r="L16" s="24"/>
      <c r="M16" s="25"/>
      <c r="N16" s="25"/>
      <c r="O16" s="27"/>
      <c r="P16" s="24">
        <v>252000</v>
      </c>
      <c r="Q16" s="27"/>
    </row>
    <row r="17" spans="1:17" x14ac:dyDescent="0.3">
      <c r="A17" s="43">
        <f t="shared" ca="1" si="0"/>
        <v>28</v>
      </c>
      <c r="E17" s="22">
        <f t="shared" ca="1" si="1"/>
        <v>21</v>
      </c>
      <c r="G17" s="47">
        <f t="shared" ca="1" si="2"/>
        <v>7.5446015563383977</v>
      </c>
      <c r="I17" s="19"/>
      <c r="J17" s="47">
        <f t="shared" ca="1" si="3"/>
        <v>6.6738745262290866</v>
      </c>
      <c r="K17" s="19"/>
      <c r="L17" s="19"/>
      <c r="M17" s="21">
        <v>342000</v>
      </c>
      <c r="N17" s="21">
        <f>M17/P21</f>
        <v>3.42</v>
      </c>
      <c r="O17" s="27"/>
      <c r="P17" s="24"/>
      <c r="Q17" s="27"/>
    </row>
    <row r="18" spans="1:17" x14ac:dyDescent="0.3">
      <c r="A18" s="43">
        <f t="shared" ca="1" si="0"/>
        <v>29</v>
      </c>
      <c r="E18" s="22">
        <f t="shared" ca="1" si="1"/>
        <v>15</v>
      </c>
      <c r="G18" s="47">
        <f t="shared" ca="1" si="2"/>
        <v>7.5465113224085671</v>
      </c>
      <c r="I18" s="20"/>
      <c r="J18" s="47">
        <f t="shared" ca="1" si="3"/>
        <v>5.8361895951908878</v>
      </c>
      <c r="K18" s="20"/>
      <c r="M18" s="21"/>
      <c r="O18" s="27"/>
      <c r="P18" s="24"/>
      <c r="Q18" s="27"/>
    </row>
    <row r="19" spans="1:17" x14ac:dyDescent="0.3">
      <c r="A19" s="43">
        <f t="shared" ca="1" si="0"/>
        <v>28</v>
      </c>
      <c r="E19" s="22">
        <f t="shared" ca="1" si="1"/>
        <v>16</v>
      </c>
      <c r="G19" s="47">
        <f t="shared" ca="1" si="2"/>
        <v>7.2990496979934809</v>
      </c>
      <c r="I19" s="20"/>
      <c r="J19" s="47">
        <f t="shared" ca="1" si="3"/>
        <v>5.5028478320566361</v>
      </c>
      <c r="K19" s="20"/>
      <c r="M19" s="21"/>
      <c r="O19" s="27"/>
      <c r="P19" s="19"/>
      <c r="Q19" s="27"/>
    </row>
    <row r="20" spans="1:17" x14ac:dyDescent="0.3">
      <c r="A20" s="43">
        <f t="shared" ca="1" si="0"/>
        <v>27</v>
      </c>
      <c r="E20" s="22">
        <f t="shared" ca="1" si="1"/>
        <v>17</v>
      </c>
      <c r="G20" s="47">
        <f t="shared" ca="1" si="2"/>
        <v>7.1785827454959588</v>
      </c>
      <c r="I20" s="20"/>
      <c r="J20" s="47">
        <f t="shared" ca="1" si="3"/>
        <v>6.299288984300814</v>
      </c>
      <c r="K20" s="20"/>
      <c r="M20" s="21"/>
    </row>
    <row r="21" spans="1:17" x14ac:dyDescent="0.3">
      <c r="A21" s="43">
        <f t="shared" ca="1" si="0"/>
        <v>29</v>
      </c>
      <c r="E21" s="22">
        <f t="shared" ca="1" si="1"/>
        <v>23</v>
      </c>
      <c r="G21" s="47">
        <f t="shared" ca="1" si="2"/>
        <v>7.789911203594567</v>
      </c>
      <c r="I21" s="20"/>
      <c r="J21" s="47">
        <f t="shared" ca="1" si="3"/>
        <v>5.9365368920860897</v>
      </c>
      <c r="K21" s="20"/>
      <c r="M21" s="21"/>
      <c r="P21" s="22">
        <v>100000</v>
      </c>
    </row>
    <row r="22" spans="1:17" x14ac:dyDescent="0.3">
      <c r="A22" s="43">
        <f t="shared" ca="1" si="0"/>
        <v>29</v>
      </c>
      <c r="E22" s="22">
        <f t="shared" ca="1" si="1"/>
        <v>19</v>
      </c>
      <c r="G22" s="47">
        <f t="shared" ca="1" si="2"/>
        <v>7.2808618059282972</v>
      </c>
      <c r="I22" s="26"/>
      <c r="J22" s="47">
        <f t="shared" ca="1" si="3"/>
        <v>6.2968262310332559</v>
      </c>
      <c r="K22" s="26"/>
      <c r="M22" s="21">
        <v>379000</v>
      </c>
      <c r="N22" s="22">
        <f>M22/P21</f>
        <v>3.79</v>
      </c>
    </row>
    <row r="23" spans="1:17" x14ac:dyDescent="0.3">
      <c r="A23" s="43">
        <f t="shared" ca="1" si="0"/>
        <v>28</v>
      </c>
      <c r="E23" s="22">
        <f t="shared" ca="1" si="1"/>
        <v>23</v>
      </c>
      <c r="G23" s="47">
        <f t="shared" ca="1" si="2"/>
        <v>7.4426728819451586</v>
      </c>
      <c r="I23" s="20"/>
      <c r="J23" s="47">
        <f t="shared" ca="1" si="3"/>
        <v>5.7017071293367403</v>
      </c>
      <c r="K23" s="20"/>
      <c r="N23" s="19"/>
      <c r="O23" s="25"/>
      <c r="P23" s="25"/>
      <c r="Q23" s="25"/>
    </row>
    <row r="24" spans="1:17" x14ac:dyDescent="0.3">
      <c r="A24" s="43">
        <f t="shared" ca="1" si="0"/>
        <v>29</v>
      </c>
      <c r="E24" s="22">
        <f t="shared" ca="1" si="1"/>
        <v>18</v>
      </c>
      <c r="G24" s="47">
        <f t="shared" ca="1" si="2"/>
        <v>7.7363680304951181</v>
      </c>
      <c r="I24" s="20"/>
      <c r="J24" s="47">
        <f t="shared" ca="1" si="3"/>
        <v>5.8202774606243288</v>
      </c>
      <c r="K24" s="20"/>
      <c r="N24" s="19"/>
      <c r="O24" s="23">
        <v>1</v>
      </c>
      <c r="P24" s="20">
        <v>1000</v>
      </c>
    </row>
    <row r="25" spans="1:17" x14ac:dyDescent="0.3">
      <c r="A25" s="43">
        <f t="shared" ca="1" si="0"/>
        <v>28</v>
      </c>
      <c r="E25" s="22">
        <f t="shared" ca="1" si="1"/>
        <v>17</v>
      </c>
      <c r="G25" s="47">
        <f t="shared" ca="1" si="2"/>
        <v>7.7716340500092063</v>
      </c>
      <c r="I25" s="20"/>
      <c r="J25" s="47">
        <f t="shared" ca="1" si="3"/>
        <v>6.0236114920413382</v>
      </c>
      <c r="K25" s="20"/>
      <c r="N25" s="19"/>
      <c r="O25" s="20">
        <v>2</v>
      </c>
      <c r="P25" s="20">
        <v>1200</v>
      </c>
    </row>
    <row r="26" spans="1:17" x14ac:dyDescent="0.3">
      <c r="A26" s="43">
        <f t="shared" ca="1" si="0"/>
        <v>27</v>
      </c>
      <c r="E26" s="22">
        <f t="shared" ca="1" si="1"/>
        <v>24</v>
      </c>
      <c r="G26" s="47">
        <f t="shared" ca="1" si="2"/>
        <v>7.1804758161327982</v>
      </c>
      <c r="I26" s="20"/>
      <c r="J26" s="47">
        <f t="shared" ca="1" si="3"/>
        <v>7.121943791312483</v>
      </c>
      <c r="K26" s="20"/>
      <c r="N26" s="19"/>
      <c r="O26" s="23">
        <v>3</v>
      </c>
      <c r="P26" s="20">
        <v>1400</v>
      </c>
    </row>
    <row r="27" spans="1:17" x14ac:dyDescent="0.3">
      <c r="A27" s="43">
        <f t="shared" ca="1" si="0"/>
        <v>27</v>
      </c>
      <c r="E27" s="22">
        <f t="shared" ca="1" si="1"/>
        <v>21</v>
      </c>
      <c r="G27" s="47">
        <f t="shared" ca="1" si="2"/>
        <v>7.4694107085482608</v>
      </c>
      <c r="I27" s="20"/>
      <c r="J27" s="47">
        <f t="shared" ca="1" si="3"/>
        <v>5.8779897494453426</v>
      </c>
      <c r="K27" s="20"/>
      <c r="M27" s="22">
        <v>452000</v>
      </c>
      <c r="N27" s="19">
        <f>M27/P21</f>
        <v>4.5199999999999996</v>
      </c>
      <c r="O27" s="20">
        <v>4</v>
      </c>
      <c r="P27" s="20">
        <v>1600</v>
      </c>
    </row>
    <row r="28" spans="1:17" x14ac:dyDescent="0.3">
      <c r="A28" s="43">
        <f t="shared" ca="1" si="0"/>
        <v>26</v>
      </c>
      <c r="E28" s="22">
        <f t="shared" ca="1" si="1"/>
        <v>21</v>
      </c>
      <c r="G28" s="47">
        <f t="shared" ca="1" si="2"/>
        <v>7.7243747265063298</v>
      </c>
      <c r="I28" s="28"/>
      <c r="J28" s="47">
        <f t="shared" ca="1" si="3"/>
        <v>5.6432262225523449</v>
      </c>
      <c r="O28" s="23">
        <v>5</v>
      </c>
      <c r="P28" s="20">
        <v>1800</v>
      </c>
    </row>
    <row r="29" spans="1:17" x14ac:dyDescent="0.3">
      <c r="A29" s="43">
        <f t="shared" ca="1" si="0"/>
        <v>26</v>
      </c>
      <c r="E29" s="22">
        <f t="shared" ca="1" si="1"/>
        <v>23</v>
      </c>
      <c r="G29" s="47">
        <f t="shared" ca="1" si="2"/>
        <v>7.6714874177432106</v>
      </c>
      <c r="I29" s="28"/>
      <c r="J29" s="47">
        <f t="shared" ca="1" si="3"/>
        <v>5.8638782631075372</v>
      </c>
      <c r="M29" s="29"/>
      <c r="N29" s="29"/>
      <c r="O29" s="20">
        <v>6</v>
      </c>
      <c r="P29" s="20">
        <v>2000</v>
      </c>
    </row>
    <row r="30" spans="1:17" x14ac:dyDescent="0.3">
      <c r="A30" s="43">
        <f t="shared" ca="1" si="0"/>
        <v>26</v>
      </c>
      <c r="E30" s="22">
        <f t="shared" ca="1" si="1"/>
        <v>15</v>
      </c>
      <c r="G30" s="47">
        <f t="shared" ca="1" si="2"/>
        <v>7.5674724075565871</v>
      </c>
      <c r="I30" s="28"/>
      <c r="J30" s="47">
        <f t="shared" ca="1" si="3"/>
        <v>6.1165098222069929</v>
      </c>
      <c r="O30" s="23">
        <v>7</v>
      </c>
      <c r="P30" s="20">
        <v>2200</v>
      </c>
    </row>
    <row r="31" spans="1:17" x14ac:dyDescent="0.3">
      <c r="A31" s="43">
        <f t="shared" ca="1" si="0"/>
        <v>29</v>
      </c>
      <c r="E31" s="22">
        <f t="shared" ca="1" si="1"/>
        <v>20</v>
      </c>
      <c r="G31" s="47">
        <f t="shared" ca="1" si="2"/>
        <v>7.7120161546227113</v>
      </c>
      <c r="I31" s="28"/>
      <c r="J31" s="47">
        <f t="shared" ca="1" si="3"/>
        <v>6.8907816783252267</v>
      </c>
      <c r="K31" s="30"/>
      <c r="L31" s="30"/>
      <c r="M31" s="30"/>
      <c r="N31" s="30"/>
      <c r="O31" s="20">
        <v>8</v>
      </c>
      <c r="P31" s="20">
        <v>2400</v>
      </c>
    </row>
    <row r="32" spans="1:17" x14ac:dyDescent="0.3">
      <c r="A32" s="43">
        <f t="shared" ca="1" si="0"/>
        <v>28</v>
      </c>
      <c r="E32" s="22">
        <f t="shared" ca="1" si="1"/>
        <v>18</v>
      </c>
      <c r="G32" s="47">
        <f ca="1">RAND()*(7.1-7.8)+7.8</f>
        <v>7.3176814185780845</v>
      </c>
      <c r="I32" s="28"/>
      <c r="J32" s="47">
        <f t="shared" ca="1" si="3"/>
        <v>6.6875438007279389</v>
      </c>
      <c r="K32" s="30"/>
      <c r="L32" s="30"/>
      <c r="M32" s="31">
        <v>510000</v>
      </c>
      <c r="N32" s="31">
        <f>M32/P21</f>
        <v>5.0999999999999996</v>
      </c>
      <c r="O32" s="23">
        <v>9</v>
      </c>
      <c r="P32" s="20">
        <v>2600</v>
      </c>
    </row>
    <row r="33" spans="1:16" x14ac:dyDescent="0.3">
      <c r="A33" s="43">
        <f t="shared" ca="1" si="0"/>
        <v>26</v>
      </c>
      <c r="E33" s="22">
        <f t="shared" ca="1" si="1"/>
        <v>15</v>
      </c>
      <c r="G33" s="47">
        <f t="shared" ca="1" si="2"/>
        <v>7.4020970798438492</v>
      </c>
      <c r="I33" s="28"/>
      <c r="J33" s="47">
        <f t="shared" ca="1" si="3"/>
        <v>6.5826015904112403</v>
      </c>
      <c r="M33" s="31"/>
      <c r="O33" s="20">
        <v>10</v>
      </c>
      <c r="P33" s="20">
        <v>2800</v>
      </c>
    </row>
    <row r="34" spans="1:16" x14ac:dyDescent="0.3">
      <c r="A34" s="43">
        <f t="shared" ca="1" si="0"/>
        <v>29</v>
      </c>
      <c r="E34" s="22">
        <f t="shared" ca="1" si="1"/>
        <v>23</v>
      </c>
      <c r="G34" s="47">
        <f t="shared" ca="1" si="2"/>
        <v>7.629285521670818</v>
      </c>
      <c r="I34" s="28"/>
      <c r="J34" s="47">
        <f t="shared" ca="1" si="3"/>
        <v>6.552314106250023</v>
      </c>
      <c r="P34" s="20">
        <v>3200</v>
      </c>
    </row>
    <row r="35" spans="1:16" x14ac:dyDescent="0.3">
      <c r="A35" s="43">
        <f t="shared" ca="1" si="0"/>
        <v>26</v>
      </c>
      <c r="E35" s="22">
        <f t="shared" ca="1" si="1"/>
        <v>23</v>
      </c>
      <c r="G35" s="47">
        <f t="shared" ca="1" si="2"/>
        <v>7.1896425437527443</v>
      </c>
      <c r="I35" s="28"/>
      <c r="J35" s="47">
        <f t="shared" ca="1" si="3"/>
        <v>6.2605336548451369</v>
      </c>
      <c r="P35" s="20">
        <v>3600</v>
      </c>
    </row>
    <row r="36" spans="1:16" x14ac:dyDescent="0.3">
      <c r="A36" s="43">
        <f t="shared" ca="1" si="0"/>
        <v>29</v>
      </c>
      <c r="P36" s="20">
        <v>4000</v>
      </c>
    </row>
    <row r="37" spans="1:16" x14ac:dyDescent="0.3">
      <c r="A37" s="43">
        <f t="shared" ca="1" si="0"/>
        <v>27</v>
      </c>
      <c r="P37" s="20">
        <v>4400</v>
      </c>
    </row>
    <row r="38" spans="1:16" x14ac:dyDescent="0.3">
      <c r="A38" s="43">
        <f t="shared" ca="1" si="0"/>
        <v>27</v>
      </c>
      <c r="P38" s="20">
        <v>4800</v>
      </c>
    </row>
    <row r="39" spans="1:16" x14ac:dyDescent="0.3">
      <c r="A39" s="43">
        <f t="shared" ca="1" si="0"/>
        <v>27</v>
      </c>
      <c r="P39" s="20">
        <v>5200</v>
      </c>
    </row>
    <row r="40" spans="1:16" x14ac:dyDescent="0.3">
      <c r="A40" s="43">
        <f t="shared" ca="1" si="0"/>
        <v>28</v>
      </c>
      <c r="P40" s="20">
        <v>5600</v>
      </c>
    </row>
    <row r="41" spans="1:16" x14ac:dyDescent="0.3">
      <c r="A41" s="43">
        <f t="shared" ca="1" si="0"/>
        <v>27</v>
      </c>
      <c r="P41" s="20">
        <v>6000</v>
      </c>
    </row>
    <row r="42" spans="1:16" x14ac:dyDescent="0.3">
      <c r="A42" s="43">
        <f t="shared" ca="1" si="0"/>
        <v>28</v>
      </c>
      <c r="P42" s="20">
        <v>6400</v>
      </c>
    </row>
    <row r="43" spans="1:16" x14ac:dyDescent="0.3">
      <c r="A43" s="43">
        <f t="shared" ca="1" si="0"/>
        <v>27</v>
      </c>
      <c r="P43" s="20">
        <v>6800</v>
      </c>
    </row>
    <row r="44" spans="1:16" x14ac:dyDescent="0.3">
      <c r="A44" s="43">
        <f t="shared" ca="1" si="0"/>
        <v>29</v>
      </c>
      <c r="P44" s="20">
        <v>7400</v>
      </c>
    </row>
    <row r="45" spans="1:16" x14ac:dyDescent="0.3">
      <c r="A45" s="43">
        <f t="shared" ca="1" si="0"/>
        <v>28</v>
      </c>
      <c r="P45" s="20">
        <v>8000</v>
      </c>
    </row>
    <row r="46" spans="1:16" x14ac:dyDescent="0.3">
      <c r="A46" s="43">
        <f t="shared" ca="1" si="0"/>
        <v>29</v>
      </c>
      <c r="P46" s="20">
        <v>8600</v>
      </c>
    </row>
    <row r="47" spans="1:16" x14ac:dyDescent="0.3">
      <c r="A47" s="43">
        <f t="shared" ca="1" si="0"/>
        <v>28</v>
      </c>
      <c r="P47" s="20">
        <v>9200</v>
      </c>
    </row>
    <row r="48" spans="1:16" x14ac:dyDescent="0.3">
      <c r="A48" s="43">
        <f t="shared" ca="1" si="0"/>
        <v>27</v>
      </c>
      <c r="P48" s="20">
        <v>9800</v>
      </c>
    </row>
    <row r="49" spans="1:16" x14ac:dyDescent="0.3">
      <c r="A49" s="43">
        <f t="shared" ca="1" si="0"/>
        <v>29</v>
      </c>
      <c r="P49" s="20">
        <v>10400</v>
      </c>
    </row>
    <row r="50" spans="1:16" x14ac:dyDescent="0.3">
      <c r="A50" s="43">
        <f t="shared" ca="1" si="0"/>
        <v>26</v>
      </c>
      <c r="P50" s="20">
        <v>11000</v>
      </c>
    </row>
    <row r="51" spans="1:16" x14ac:dyDescent="0.3">
      <c r="A51" s="43">
        <f t="shared" ca="1" si="0"/>
        <v>27</v>
      </c>
      <c r="P51" s="20">
        <v>11600</v>
      </c>
    </row>
    <row r="52" spans="1:16" x14ac:dyDescent="0.3">
      <c r="A52" s="43">
        <f t="shared" ca="1" si="0"/>
        <v>29</v>
      </c>
      <c r="P52" s="20">
        <v>12200</v>
      </c>
    </row>
    <row r="53" spans="1:16" x14ac:dyDescent="0.3">
      <c r="P53" s="20">
        <v>12800</v>
      </c>
    </row>
    <row r="54" spans="1:16" x14ac:dyDescent="0.3">
      <c r="P54" s="19">
        <v>13400</v>
      </c>
    </row>
    <row r="55" spans="1:16" x14ac:dyDescent="0.3">
      <c r="P55" s="19">
        <v>14000</v>
      </c>
    </row>
    <row r="56" spans="1:16" x14ac:dyDescent="0.3">
      <c r="P56" s="19">
        <v>14600</v>
      </c>
    </row>
    <row r="57" spans="1:16" x14ac:dyDescent="0.3">
      <c r="P57" s="19">
        <v>15200</v>
      </c>
    </row>
    <row r="58" spans="1:16" x14ac:dyDescent="0.3">
      <c r="P58" s="19">
        <v>15800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7</vt:i4>
      </vt:variant>
    </vt:vector>
  </HeadingPairs>
  <TitlesOfParts>
    <vt:vector size="7" baseType="lpstr">
      <vt:lpstr>Management Pakan</vt:lpstr>
      <vt:lpstr>Padat Tebar dan Panen</vt:lpstr>
      <vt:lpstr>Data Analisis Finansial</vt:lpstr>
      <vt:lpstr>Management Kualitas Air</vt:lpstr>
      <vt:lpstr>Perhitungan Kualitas Air</vt:lpstr>
      <vt:lpstr>Data Sampling</vt:lpstr>
      <vt:lpstr>lembar hitung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Aryne Bumanda Putry</dc:creator>
  <cp:lastModifiedBy>Aryne Bumanda Putry</cp:lastModifiedBy>
  <dcterms:created xsi:type="dcterms:W3CDTF">2023-10-22T03:10:53Z</dcterms:created>
  <dcterms:modified xsi:type="dcterms:W3CDTF">2024-07-08T22:28:46Z</dcterms:modified>
</cp:coreProperties>
</file>